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9720" windowHeight="6570" activeTab="0"/>
  </bookViews>
  <sheets>
    <sheet name="209K Tiedown Calc" sheetId="1" r:id="rId1"/>
    <sheet name="209K Lift Calc" sheetId="2" r:id="rId2"/>
    <sheet name="Report Format Dimensions" sheetId="3" r:id="rId3"/>
    <sheet name="Report Format Load Calc Summary" sheetId="4" r:id="rId4"/>
    <sheet name="Physical Characteristics" sheetId="5" r:id="rId5"/>
    <sheet name="Max Values" sheetId="6" r:id="rId6"/>
  </sheets>
  <definedNames>
    <definedName name="_xlnm.Print_Area" localSheetId="1">'209K Lift Calc'!$A$2:$H$186</definedName>
    <definedName name="_xlnm.Print_Area" localSheetId="0">'209K Tiedown Calc'!$A$2:$H$126</definedName>
    <definedName name="_xlnm.Print_Area">'209K Tiedown Calc'!$B$128:$G$129</definedName>
    <definedName name="Print_Area_MI" localSheetId="1">'209K Lift Calc'!#REF!</definedName>
    <definedName name="Print_Area_MI" localSheetId="0">'209K Tiedown Calc'!$B$128:$G$129</definedName>
    <definedName name="PRINT_AREA_MI">'209K Tiedown Calc'!$B$128:$G$129</definedName>
  </definedNames>
  <calcPr fullCalcOnLoad="1"/>
</workbook>
</file>

<file path=xl/sharedStrings.xml><?xml version="1.0" encoding="utf-8"?>
<sst xmlns="http://schemas.openxmlformats.org/spreadsheetml/2006/main" count="408" uniqueCount="285">
  <si>
    <t>these calculations should be used for design purposes and for testing.</t>
  </si>
  <si>
    <t xml:space="preserve">Please enter the numbers shown in red for your specific equipment.  See figure 1 for examples of each </t>
  </si>
  <si>
    <t>of the variables.</t>
  </si>
  <si>
    <t xml:space="preserve">Figure 1 </t>
  </si>
  <si>
    <t>No. of provisions that prevent movement in the:</t>
  </si>
  <si>
    <t>Forward Direction -</t>
  </si>
  <si>
    <t>Aft Direction -</t>
  </si>
  <si>
    <t>Left Direction -</t>
  </si>
  <si>
    <t>Right Direction -</t>
  </si>
  <si>
    <t xml:space="preserve">Vertical Direction - </t>
  </si>
  <si>
    <t>Given Data:</t>
  </si>
  <si>
    <r>
      <t>S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 </t>
    </r>
  </si>
  <si>
    <t>inches</t>
  </si>
  <si>
    <r>
      <t>L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 </t>
    </r>
  </si>
  <si>
    <r>
      <t>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</si>
  <si>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</si>
  <si>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 </t>
    </r>
  </si>
  <si>
    <r>
      <t>L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</si>
  <si>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S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</si>
  <si>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r>
      <t>L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</si>
  <si>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t>GW</t>
  </si>
  <si>
    <t>pounds</t>
  </si>
  <si>
    <t>Provision</t>
  </si>
  <si>
    <t xml:space="preserve">       Longitudinal</t>
  </si>
  <si>
    <t xml:space="preserve">                Vertical</t>
  </si>
  <si>
    <t xml:space="preserve">              Lateral</t>
  </si>
  <si>
    <t>Number</t>
  </si>
  <si>
    <t xml:space="preserve">           Load (lb)</t>
  </si>
  <si>
    <t>Load (lb)</t>
  </si>
  <si>
    <t xml:space="preserve">              Load (lb)</t>
  </si>
  <si>
    <t>Provision 1</t>
  </si>
  <si>
    <t>front right</t>
  </si>
  <si>
    <t>Provision 2</t>
  </si>
  <si>
    <t>front left</t>
  </si>
  <si>
    <t>Provision 3</t>
  </si>
  <si>
    <t>back right</t>
  </si>
  <si>
    <t>Provision 4</t>
  </si>
  <si>
    <t>back left</t>
  </si>
  <si>
    <t>Below are the equations and formulas used for arriving at the values in the above table.</t>
  </si>
  <si>
    <t>Longitudinal Direction:</t>
  </si>
  <si>
    <t>The longitudinal inertia force acting through the CG is:</t>
  </si>
  <si>
    <t xml:space="preserve">4*GW = </t>
  </si>
  <si>
    <t>To restrict movement in the forward direction, two provisions can be used:</t>
  </si>
  <si>
    <r>
      <t>T</t>
    </r>
    <r>
      <rPr>
        <vertAlign val="subscript"/>
        <sz val="10"/>
        <rFont val="Times New Roman"/>
        <family val="1"/>
      </rPr>
      <t>3L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4L</t>
    </r>
    <r>
      <rPr>
        <sz val="10"/>
        <rFont val="Times New Roman"/>
        <family val="1"/>
      </rPr>
      <t xml:space="preserve"> = </t>
    </r>
  </si>
  <si>
    <r>
      <t>T</t>
    </r>
    <r>
      <rPr>
        <vertAlign val="subscript"/>
        <sz val="10"/>
        <rFont val="Times New Roman"/>
        <family val="1"/>
      </rPr>
      <t>3L</t>
    </r>
    <r>
      <rPr>
        <sz val="10"/>
        <rFont val="Times New Roman"/>
        <family val="1"/>
      </rPr>
      <t xml:space="preserve"> = S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*(T</t>
    </r>
    <r>
      <rPr>
        <vertAlign val="subscript"/>
        <sz val="10"/>
        <rFont val="Times New Roman"/>
        <family val="1"/>
      </rPr>
      <t>3L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4L</t>
    </r>
    <r>
      <rPr>
        <sz val="10"/>
        <rFont val="Times New Roman"/>
        <family val="1"/>
      </rPr>
      <t>)/(S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+ S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) = </t>
    </r>
  </si>
  <si>
    <r>
      <t>T</t>
    </r>
    <r>
      <rPr>
        <vertAlign val="subscript"/>
        <sz val="10"/>
        <rFont val="Times New Roman"/>
        <family val="1"/>
      </rPr>
      <t>4L</t>
    </r>
    <r>
      <rPr>
        <sz val="10"/>
        <rFont val="Times New Roman"/>
        <family val="1"/>
      </rPr>
      <t xml:space="preserve"> = 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*(T</t>
    </r>
    <r>
      <rPr>
        <vertAlign val="subscript"/>
        <sz val="10"/>
        <rFont val="Times New Roman"/>
        <family val="1"/>
      </rPr>
      <t>3L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4L</t>
    </r>
    <r>
      <rPr>
        <sz val="10"/>
        <rFont val="Times New Roman"/>
        <family val="1"/>
      </rPr>
      <t>)/(S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+ S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 =</t>
    </r>
  </si>
  <si>
    <t>To restrict movement in the aft direction, two provisions can be used:</t>
  </si>
  <si>
    <r>
      <t>T</t>
    </r>
    <r>
      <rPr>
        <vertAlign val="subscript"/>
        <sz val="10"/>
        <rFont val="Times New Roman"/>
        <family val="1"/>
      </rPr>
      <t>1L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2L</t>
    </r>
    <r>
      <rPr>
        <sz val="10"/>
        <rFont val="Times New Roman"/>
        <family val="1"/>
      </rPr>
      <t xml:space="preserve"> = </t>
    </r>
  </si>
  <si>
    <r>
      <t>T</t>
    </r>
    <r>
      <rPr>
        <vertAlign val="subscript"/>
        <sz val="10"/>
        <rFont val="Times New Roman"/>
        <family val="1"/>
      </rPr>
      <t>1L</t>
    </r>
    <r>
      <rPr>
        <sz val="10"/>
        <rFont val="Times New Roman"/>
        <family val="1"/>
      </rPr>
      <t xml:space="preserve"> = 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*(T</t>
    </r>
    <r>
      <rPr>
        <vertAlign val="subscript"/>
        <sz val="10"/>
        <rFont val="Times New Roman"/>
        <family val="1"/>
      </rPr>
      <t>1L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2L</t>
    </r>
    <r>
      <rPr>
        <sz val="10"/>
        <rFont val="Times New Roman"/>
        <family val="1"/>
      </rPr>
      <t>)/(S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=</t>
    </r>
  </si>
  <si>
    <r>
      <t>T</t>
    </r>
    <r>
      <rPr>
        <vertAlign val="subscript"/>
        <sz val="10"/>
        <rFont val="Times New Roman"/>
        <family val="1"/>
      </rPr>
      <t>2L</t>
    </r>
    <r>
      <rPr>
        <sz val="10"/>
        <rFont val="Times New Roman"/>
        <family val="1"/>
      </rPr>
      <t xml:space="preserve"> = S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*(T</t>
    </r>
    <r>
      <rPr>
        <vertAlign val="subscript"/>
        <sz val="10"/>
        <rFont val="Times New Roman"/>
        <family val="1"/>
      </rPr>
      <t>1L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2L</t>
    </r>
    <r>
      <rPr>
        <sz val="10"/>
        <rFont val="Times New Roman"/>
        <family val="1"/>
      </rPr>
      <t>)/(S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 =</t>
    </r>
  </si>
  <si>
    <t>Ultimate load requirements (1.5 x design limit load) are:</t>
  </si>
  <si>
    <t>Forward</t>
  </si>
  <si>
    <r>
      <t>U</t>
    </r>
    <r>
      <rPr>
        <vertAlign val="subscript"/>
        <sz val="10"/>
        <rFont val="Times New Roman"/>
        <family val="1"/>
      </rPr>
      <t>3L</t>
    </r>
    <r>
      <rPr>
        <sz val="10"/>
        <rFont val="Times New Roman"/>
        <family val="1"/>
      </rPr>
      <t xml:space="preserve"> = 1.5*T</t>
    </r>
    <r>
      <rPr>
        <vertAlign val="subscript"/>
        <sz val="10"/>
        <rFont val="Times New Roman"/>
        <family val="1"/>
      </rPr>
      <t>3L =</t>
    </r>
  </si>
  <si>
    <r>
      <t>U</t>
    </r>
    <r>
      <rPr>
        <vertAlign val="subscript"/>
        <sz val="10"/>
        <rFont val="Times New Roman"/>
        <family val="1"/>
      </rPr>
      <t>4L</t>
    </r>
    <r>
      <rPr>
        <sz val="10"/>
        <rFont val="Times New Roman"/>
        <family val="1"/>
      </rPr>
      <t xml:space="preserve"> = 1.5*T</t>
    </r>
    <r>
      <rPr>
        <vertAlign val="subscript"/>
        <sz val="10"/>
        <rFont val="Times New Roman"/>
        <family val="1"/>
      </rPr>
      <t>4L =</t>
    </r>
  </si>
  <si>
    <t>Aft</t>
  </si>
  <si>
    <r>
      <t>U</t>
    </r>
    <r>
      <rPr>
        <vertAlign val="subscript"/>
        <sz val="10"/>
        <rFont val="Times New Roman"/>
        <family val="1"/>
      </rPr>
      <t>1L</t>
    </r>
    <r>
      <rPr>
        <sz val="10"/>
        <rFont val="Times New Roman"/>
        <family val="1"/>
      </rPr>
      <t xml:space="preserve"> = 1.5*T</t>
    </r>
    <r>
      <rPr>
        <vertAlign val="subscript"/>
        <sz val="10"/>
        <rFont val="Times New Roman"/>
        <family val="1"/>
      </rPr>
      <t>1L =</t>
    </r>
  </si>
  <si>
    <r>
      <t>U</t>
    </r>
    <r>
      <rPr>
        <vertAlign val="subscript"/>
        <sz val="10"/>
        <rFont val="Times New Roman"/>
        <family val="1"/>
      </rPr>
      <t>2L</t>
    </r>
    <r>
      <rPr>
        <sz val="10"/>
        <rFont val="Times New Roman"/>
        <family val="1"/>
      </rPr>
      <t xml:space="preserve"> = 1.5*T</t>
    </r>
    <r>
      <rPr>
        <vertAlign val="subscript"/>
        <sz val="10"/>
        <rFont val="Times New Roman"/>
        <family val="1"/>
      </rPr>
      <t>2L =</t>
    </r>
  </si>
  <si>
    <t/>
  </si>
  <si>
    <t>Vertical Direction:</t>
  </si>
  <si>
    <t>The vertical inertia force acting through the CG is:</t>
  </si>
  <si>
    <t xml:space="preserve">2*GW = </t>
  </si>
  <si>
    <t>To restrict movement in the vertical direction, four provisions can be used:</t>
  </si>
  <si>
    <r>
      <t>T</t>
    </r>
    <r>
      <rPr>
        <vertAlign val="subscript"/>
        <sz val="10"/>
        <rFont val="Times New Roman"/>
        <family val="1"/>
      </rPr>
      <t>1V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2V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3V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4V</t>
    </r>
    <r>
      <rPr>
        <sz val="10"/>
        <rFont val="Times New Roman"/>
        <family val="1"/>
      </rPr>
      <t xml:space="preserve"> =</t>
    </r>
  </si>
  <si>
    <r>
      <t>T</t>
    </r>
    <r>
      <rPr>
        <vertAlign val="subscript"/>
        <sz val="10"/>
        <rFont val="Times New Roman"/>
        <family val="1"/>
      </rPr>
      <t>1V</t>
    </r>
    <r>
      <rPr>
        <sz val="10"/>
        <rFont val="Times New Roman"/>
        <family val="1"/>
      </rPr>
      <t xml:space="preserve"> = 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/(S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/(L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L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)*(T</t>
    </r>
    <r>
      <rPr>
        <vertAlign val="subscript"/>
        <sz val="10"/>
        <rFont val="Times New Roman"/>
        <family val="1"/>
      </rPr>
      <t>1V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2V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3V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4V</t>
    </r>
    <r>
      <rPr>
        <sz val="10"/>
        <rFont val="Times New Roman"/>
        <family val="1"/>
      </rPr>
      <t>) =</t>
    </r>
  </si>
  <si>
    <r>
      <t>T</t>
    </r>
    <r>
      <rPr>
        <vertAlign val="subscript"/>
        <sz val="10"/>
        <rFont val="Times New Roman"/>
        <family val="1"/>
      </rPr>
      <t>2V</t>
    </r>
    <r>
      <rPr>
        <sz val="10"/>
        <rFont val="Times New Roman"/>
        <family val="1"/>
      </rPr>
      <t xml:space="preserve"> = S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/(S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S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)*L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/(L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L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)*(T</t>
    </r>
    <r>
      <rPr>
        <vertAlign val="subscript"/>
        <sz val="10"/>
        <rFont val="Times New Roman"/>
        <family val="1"/>
      </rPr>
      <t>1V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2V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3V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4V</t>
    </r>
    <r>
      <rPr>
        <sz val="10"/>
        <rFont val="Times New Roman"/>
        <family val="1"/>
      </rPr>
      <t>) =</t>
    </r>
  </si>
  <si>
    <r>
      <t>T</t>
    </r>
    <r>
      <rPr>
        <vertAlign val="subscript"/>
        <sz val="10"/>
        <rFont val="Times New Roman"/>
        <family val="1"/>
      </rPr>
      <t>3V</t>
    </r>
    <r>
      <rPr>
        <sz val="10"/>
        <rFont val="Times New Roman"/>
        <family val="1"/>
      </rPr>
      <t xml:space="preserve"> = S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/(S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+ S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)*L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/(L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L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)*(T</t>
    </r>
    <r>
      <rPr>
        <vertAlign val="subscript"/>
        <sz val="10"/>
        <rFont val="Times New Roman"/>
        <family val="1"/>
      </rPr>
      <t>1V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2V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3V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4V</t>
    </r>
    <r>
      <rPr>
        <sz val="10"/>
        <rFont val="Times New Roman"/>
        <family val="1"/>
      </rPr>
      <t>) =</t>
    </r>
  </si>
  <si>
    <r>
      <t>T</t>
    </r>
    <r>
      <rPr>
        <vertAlign val="subscript"/>
        <sz val="10"/>
        <rFont val="Times New Roman"/>
        <family val="1"/>
      </rPr>
      <t>4V</t>
    </r>
    <r>
      <rPr>
        <sz val="10"/>
        <rFont val="Times New Roman"/>
        <family val="1"/>
      </rPr>
      <t xml:space="preserve"> = 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/(S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+ S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)*L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/(L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L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)*(T</t>
    </r>
    <r>
      <rPr>
        <vertAlign val="subscript"/>
        <sz val="10"/>
        <rFont val="Times New Roman"/>
        <family val="1"/>
      </rPr>
      <t>1V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2V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3V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4V</t>
    </r>
    <r>
      <rPr>
        <sz val="10"/>
        <rFont val="Times New Roman"/>
        <family val="1"/>
      </rPr>
      <t>) =</t>
    </r>
  </si>
  <si>
    <r>
      <t>U</t>
    </r>
    <r>
      <rPr>
        <vertAlign val="subscript"/>
        <sz val="10"/>
        <rFont val="Times New Roman"/>
        <family val="1"/>
      </rPr>
      <t>1V</t>
    </r>
    <r>
      <rPr>
        <sz val="10"/>
        <rFont val="Times New Roman"/>
        <family val="1"/>
      </rPr>
      <t xml:space="preserve"> = 1.5 * T</t>
    </r>
    <r>
      <rPr>
        <vertAlign val="subscript"/>
        <sz val="10"/>
        <rFont val="Times New Roman"/>
        <family val="1"/>
      </rPr>
      <t>1V</t>
    </r>
    <r>
      <rPr>
        <sz val="10"/>
        <rFont val="Times New Roman"/>
        <family val="1"/>
      </rPr>
      <t xml:space="preserve"> = </t>
    </r>
  </si>
  <si>
    <r>
      <t>U</t>
    </r>
    <r>
      <rPr>
        <vertAlign val="subscript"/>
        <sz val="10"/>
        <rFont val="Times New Roman"/>
        <family val="1"/>
      </rPr>
      <t>2V</t>
    </r>
    <r>
      <rPr>
        <sz val="10"/>
        <rFont val="Times New Roman"/>
        <family val="1"/>
      </rPr>
      <t xml:space="preserve"> = 1.5 * T</t>
    </r>
    <r>
      <rPr>
        <vertAlign val="subscript"/>
        <sz val="10"/>
        <rFont val="Times New Roman"/>
        <family val="1"/>
      </rPr>
      <t>2V</t>
    </r>
    <r>
      <rPr>
        <sz val="10"/>
        <rFont val="Times New Roman"/>
        <family val="1"/>
      </rPr>
      <t xml:space="preserve"> =</t>
    </r>
  </si>
  <si>
    <r>
      <t>U</t>
    </r>
    <r>
      <rPr>
        <vertAlign val="subscript"/>
        <sz val="10"/>
        <rFont val="Times New Roman"/>
        <family val="1"/>
      </rPr>
      <t>3V</t>
    </r>
    <r>
      <rPr>
        <sz val="10"/>
        <rFont val="Times New Roman"/>
        <family val="1"/>
      </rPr>
      <t xml:space="preserve"> = 1.5 * T</t>
    </r>
    <r>
      <rPr>
        <vertAlign val="subscript"/>
        <sz val="10"/>
        <rFont val="Times New Roman"/>
        <family val="1"/>
      </rPr>
      <t>3V</t>
    </r>
    <r>
      <rPr>
        <sz val="10"/>
        <rFont val="Times New Roman"/>
        <family val="1"/>
      </rPr>
      <t xml:space="preserve"> =</t>
    </r>
  </si>
  <si>
    <r>
      <t>U</t>
    </r>
    <r>
      <rPr>
        <vertAlign val="subscript"/>
        <sz val="10"/>
        <rFont val="Times New Roman"/>
        <family val="1"/>
      </rPr>
      <t>4V</t>
    </r>
    <r>
      <rPr>
        <sz val="10"/>
        <rFont val="Times New Roman"/>
        <family val="1"/>
      </rPr>
      <t xml:space="preserve"> = 1.5 * T</t>
    </r>
    <r>
      <rPr>
        <vertAlign val="subscript"/>
        <sz val="10"/>
        <rFont val="Times New Roman"/>
        <family val="1"/>
      </rPr>
      <t>4V</t>
    </r>
    <r>
      <rPr>
        <sz val="10"/>
        <rFont val="Times New Roman"/>
        <family val="1"/>
      </rPr>
      <t xml:space="preserve"> =</t>
    </r>
  </si>
  <si>
    <t>Lateral Direction:</t>
  </si>
  <si>
    <t>The lateral inertia force acting through the CG is:</t>
  </si>
  <si>
    <t xml:space="preserve">1.5*GW = </t>
  </si>
  <si>
    <t>To restrict movement toward the right, two provisions can be used:</t>
  </si>
  <si>
    <r>
      <t>T</t>
    </r>
    <r>
      <rPr>
        <vertAlign val="subscript"/>
        <sz val="10"/>
        <rFont val="Times New Roman"/>
        <family val="1"/>
      </rPr>
      <t>2S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4S</t>
    </r>
    <r>
      <rPr>
        <sz val="10"/>
        <rFont val="Times New Roman"/>
        <family val="1"/>
      </rPr>
      <t xml:space="preserve"> = </t>
    </r>
  </si>
  <si>
    <r>
      <t>T</t>
    </r>
    <r>
      <rPr>
        <vertAlign val="subscript"/>
        <sz val="10"/>
        <rFont val="Times New Roman"/>
        <family val="1"/>
      </rPr>
      <t>2S</t>
    </r>
    <r>
      <rPr>
        <sz val="10"/>
        <rFont val="Times New Roman"/>
        <family val="1"/>
      </rPr>
      <t xml:space="preserve"> = L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*(T</t>
    </r>
    <r>
      <rPr>
        <vertAlign val="subscript"/>
        <sz val="10"/>
        <rFont val="Times New Roman"/>
        <family val="1"/>
      </rPr>
      <t>2S</t>
    </r>
    <r>
      <rPr>
        <sz val="10"/>
        <rFont val="Times New Roman"/>
        <family val="1"/>
      </rPr>
      <t xml:space="preserve"> +T</t>
    </r>
    <r>
      <rPr>
        <vertAlign val="subscript"/>
        <sz val="10"/>
        <rFont val="Times New Roman"/>
        <family val="1"/>
      </rPr>
      <t>4S</t>
    </r>
    <r>
      <rPr>
        <sz val="10"/>
        <rFont val="Times New Roman"/>
        <family val="1"/>
      </rPr>
      <t>)/(L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L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 =</t>
    </r>
  </si>
  <si>
    <r>
      <t>T</t>
    </r>
    <r>
      <rPr>
        <vertAlign val="subscript"/>
        <sz val="10"/>
        <rFont val="Times New Roman"/>
        <family val="1"/>
      </rPr>
      <t>4S</t>
    </r>
    <r>
      <rPr>
        <sz val="10"/>
        <rFont val="Times New Roman"/>
        <family val="1"/>
      </rPr>
      <t xml:space="preserve"> = 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*(T</t>
    </r>
    <r>
      <rPr>
        <vertAlign val="subscript"/>
        <sz val="10"/>
        <rFont val="Times New Roman"/>
        <family val="1"/>
      </rPr>
      <t>2S</t>
    </r>
    <r>
      <rPr>
        <sz val="10"/>
        <rFont val="Times New Roman"/>
        <family val="1"/>
      </rPr>
      <t xml:space="preserve"> +T</t>
    </r>
    <r>
      <rPr>
        <vertAlign val="subscript"/>
        <sz val="10"/>
        <rFont val="Times New Roman"/>
        <family val="1"/>
      </rPr>
      <t>4S</t>
    </r>
    <r>
      <rPr>
        <sz val="10"/>
        <rFont val="Times New Roman"/>
        <family val="1"/>
      </rPr>
      <t>)/(L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L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 =</t>
    </r>
  </si>
  <si>
    <t>To restrict movement toward the left, two provisions can be used:</t>
  </si>
  <si>
    <r>
      <t>T</t>
    </r>
    <r>
      <rPr>
        <vertAlign val="subscript"/>
        <sz val="10"/>
        <rFont val="Times New Roman"/>
        <family val="1"/>
      </rPr>
      <t>1S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3S</t>
    </r>
    <r>
      <rPr>
        <sz val="10"/>
        <rFont val="Times New Roman"/>
        <family val="1"/>
      </rPr>
      <t xml:space="preserve"> = </t>
    </r>
  </si>
  <si>
    <r>
      <t>T</t>
    </r>
    <r>
      <rPr>
        <vertAlign val="subscript"/>
        <sz val="10"/>
        <rFont val="Times New Roman"/>
        <family val="1"/>
      </rPr>
      <t>1S</t>
    </r>
    <r>
      <rPr>
        <sz val="10"/>
        <rFont val="Times New Roman"/>
        <family val="1"/>
      </rPr>
      <t xml:space="preserve"> = L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 (T</t>
    </r>
    <r>
      <rPr>
        <vertAlign val="subscript"/>
        <sz val="10"/>
        <rFont val="Times New Roman"/>
        <family val="1"/>
      </rPr>
      <t>1S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3S</t>
    </r>
    <r>
      <rPr>
        <sz val="10"/>
        <rFont val="Times New Roman"/>
        <family val="1"/>
      </rPr>
      <t>)/(L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L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) = </t>
    </r>
  </si>
  <si>
    <r>
      <t>T</t>
    </r>
    <r>
      <rPr>
        <vertAlign val="subscript"/>
        <sz val="10"/>
        <rFont val="Times New Roman"/>
        <family val="1"/>
      </rPr>
      <t>3S</t>
    </r>
    <r>
      <rPr>
        <sz val="10"/>
        <rFont val="Times New Roman"/>
        <family val="1"/>
      </rPr>
      <t xml:space="preserve"> = L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* (T</t>
    </r>
    <r>
      <rPr>
        <vertAlign val="subscript"/>
        <sz val="10"/>
        <rFont val="Times New Roman"/>
        <family val="1"/>
      </rPr>
      <t>1S</t>
    </r>
    <r>
      <rPr>
        <sz val="10"/>
        <rFont val="Times New Roman"/>
        <family val="1"/>
      </rPr>
      <t xml:space="preserve"> + T</t>
    </r>
    <r>
      <rPr>
        <vertAlign val="subscript"/>
        <sz val="10"/>
        <rFont val="Times New Roman"/>
        <family val="1"/>
      </rPr>
      <t>3S</t>
    </r>
    <r>
      <rPr>
        <sz val="10"/>
        <rFont val="Times New Roman"/>
        <family val="1"/>
      </rPr>
      <t>)/(L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L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) = </t>
    </r>
  </si>
  <si>
    <t>Right</t>
  </si>
  <si>
    <r>
      <t>U</t>
    </r>
    <r>
      <rPr>
        <vertAlign val="subscript"/>
        <sz val="10"/>
        <rFont val="Times New Roman"/>
        <family val="1"/>
      </rPr>
      <t>2S</t>
    </r>
    <r>
      <rPr>
        <sz val="10"/>
        <rFont val="Times New Roman"/>
        <family val="1"/>
      </rPr>
      <t xml:space="preserve"> = T</t>
    </r>
    <r>
      <rPr>
        <vertAlign val="subscript"/>
        <sz val="10"/>
        <rFont val="Times New Roman"/>
        <family val="1"/>
      </rPr>
      <t>2S</t>
    </r>
    <r>
      <rPr>
        <sz val="10"/>
        <rFont val="Times New Roman"/>
        <family val="1"/>
      </rPr>
      <t>*1.5 =</t>
    </r>
  </si>
  <si>
    <r>
      <t>U</t>
    </r>
    <r>
      <rPr>
        <vertAlign val="subscript"/>
        <sz val="10"/>
        <rFont val="Times New Roman"/>
        <family val="1"/>
      </rPr>
      <t>4S</t>
    </r>
    <r>
      <rPr>
        <sz val="10"/>
        <rFont val="Times New Roman"/>
        <family val="1"/>
      </rPr>
      <t xml:space="preserve"> = T</t>
    </r>
    <r>
      <rPr>
        <vertAlign val="subscript"/>
        <sz val="10"/>
        <rFont val="Times New Roman"/>
        <family val="1"/>
      </rPr>
      <t>4S</t>
    </r>
    <r>
      <rPr>
        <sz val="10"/>
        <rFont val="Times New Roman"/>
        <family val="1"/>
      </rPr>
      <t>*1.5 =</t>
    </r>
  </si>
  <si>
    <t>Left</t>
  </si>
  <si>
    <r>
      <t>U</t>
    </r>
    <r>
      <rPr>
        <vertAlign val="subscript"/>
        <sz val="10"/>
        <rFont val="Times New Roman"/>
        <family val="1"/>
      </rPr>
      <t>1S</t>
    </r>
    <r>
      <rPr>
        <sz val="10"/>
        <rFont val="Times New Roman"/>
        <family val="1"/>
      </rPr>
      <t xml:space="preserve"> = T</t>
    </r>
    <r>
      <rPr>
        <vertAlign val="subscript"/>
        <sz val="10"/>
        <rFont val="Times New Roman"/>
        <family val="1"/>
      </rPr>
      <t>1S</t>
    </r>
    <r>
      <rPr>
        <sz val="10"/>
        <rFont val="Times New Roman"/>
        <family val="1"/>
      </rPr>
      <t>*1.5 =</t>
    </r>
  </si>
  <si>
    <r>
      <t>U</t>
    </r>
    <r>
      <rPr>
        <vertAlign val="subscript"/>
        <sz val="10"/>
        <rFont val="Times New Roman"/>
        <family val="1"/>
      </rPr>
      <t>3S</t>
    </r>
    <r>
      <rPr>
        <sz val="10"/>
        <rFont val="Times New Roman"/>
        <family val="1"/>
      </rPr>
      <t xml:space="preserve"> = T</t>
    </r>
    <r>
      <rPr>
        <vertAlign val="subscript"/>
        <sz val="10"/>
        <rFont val="Times New Roman"/>
        <family val="1"/>
      </rPr>
      <t>3S</t>
    </r>
    <r>
      <rPr>
        <sz val="10"/>
        <rFont val="Times New Roman"/>
        <family val="1"/>
      </rPr>
      <t>*1.5 =</t>
    </r>
  </si>
  <si>
    <t>Project Identification</t>
  </si>
  <si>
    <t>Test item identification</t>
  </si>
  <si>
    <t>PROVISION</t>
  </si>
  <si>
    <t>These calculations determine the design loads, ultimate loads, sling lengths and sling angles</t>
  </si>
  <si>
    <t>STEP ONE - Determine load factor</t>
  </si>
  <si>
    <t>The load factor is either 2.3  for crane lift only, or a higher value for crane lift and helicopter lift.</t>
  </si>
  <si>
    <t>Fill in the red numbers for the external air transport weight (EATWT) and the maximum projected</t>
  </si>
  <si>
    <t>frontal area (MPFA) numbers for your item.  The program will calculate the EATWT/MPFA  ratio</t>
  </si>
  <si>
    <t xml:space="preserve">and the load factor for helicopter and crane lift.  Choose the correct load factor that is </t>
  </si>
  <si>
    <t>appropriate for the item's transport requirements.</t>
  </si>
  <si>
    <t>EATWT=</t>
  </si>
  <si>
    <t>MPFA=</t>
  </si>
  <si>
    <t>square feet</t>
  </si>
  <si>
    <t>EATWT/MPFA=</t>
  </si>
  <si>
    <t>pounds/sq ft</t>
  </si>
  <si>
    <t>Helicopter and Crane Lift</t>
  </si>
  <si>
    <t>OR</t>
  </si>
  <si>
    <t>Crane Lift Only</t>
  </si>
  <si>
    <t>Load Factor for STEP TWO =</t>
  </si>
  <si>
    <t xml:space="preserve">Choose the correct Load Factor and enter here: </t>
  </si>
  <si>
    <t>STEP TWO - Calculate loads and sling angles</t>
  </si>
  <si>
    <t>Please enter the numbers shown in red for your specific piece of equipment.  See figure 1 for examples</t>
  </si>
  <si>
    <t>of each of the variables.</t>
  </si>
  <si>
    <t>Figure 1</t>
  </si>
  <si>
    <t>Lf</t>
  </si>
  <si>
    <t>Lr</t>
  </si>
  <si>
    <t>Hf</t>
  </si>
  <si>
    <t>Hr</t>
  </si>
  <si>
    <t>Da</t>
  </si>
  <si>
    <t>Db</t>
  </si>
  <si>
    <t>Dc</t>
  </si>
  <si>
    <t>Dd</t>
  </si>
  <si>
    <t>Location</t>
  </si>
  <si>
    <t xml:space="preserve">Angle of sling </t>
  </si>
  <si>
    <t>Sling Leg</t>
  </si>
  <si>
    <t xml:space="preserve">        Design Limit</t>
  </si>
  <si>
    <t xml:space="preserve">        Ultimate</t>
  </si>
  <si>
    <t>with the vertical</t>
  </si>
  <si>
    <t>Length (in)</t>
  </si>
  <si>
    <t xml:space="preserve">          Load (lb)</t>
  </si>
  <si>
    <t xml:space="preserve">         Load (lb)</t>
  </si>
  <si>
    <t>(degrees)</t>
  </si>
  <si>
    <t>Front Right, A</t>
  </si>
  <si>
    <t>Front Left, B</t>
  </si>
  <si>
    <t>Rear Left, C</t>
  </si>
  <si>
    <t>Rear Right, D</t>
  </si>
  <si>
    <t>Apex height =</t>
  </si>
  <si>
    <t>feet</t>
  </si>
  <si>
    <t>(Must be less than 20 feet)</t>
  </si>
  <si>
    <t>Angle of the plane of the provisions =</t>
  </si>
  <si>
    <t>degrees</t>
  </si>
  <si>
    <t>L=Lf+Lr=</t>
  </si>
  <si>
    <t>Dab = (Da + Db)/2 =</t>
  </si>
  <si>
    <t>Dcd = (Dc + Dd)/2 =</t>
  </si>
  <si>
    <t>Lx = Lxy - Ly</t>
  </si>
  <si>
    <t>By substituting the third equation into the first equation, we can solve for Ly.</t>
  </si>
  <si>
    <t>Ly = (Dab^2 - Dcd^2 + Lxy^2)/2Lxy =</t>
  </si>
  <si>
    <t>Lx = Lxy - Ly =</t>
  </si>
  <si>
    <t>SA is set to 45 degrees to determine the sling length for a single apex sling assembly.</t>
  </si>
  <si>
    <t>inches =</t>
  </si>
  <si>
    <t>If S is shorter than 12 feet, the sling length for an equal length single apex sling assembly is set to 12 feet.</t>
  </si>
  <si>
    <t>This is most likely the shortest size of slings that will be available in the field to lift an item.</t>
  </si>
  <si>
    <t>Sling length of all slings, S, used for remainder of calculations:</t>
  </si>
  <si>
    <t>Determine ha, hb, hc, hd, hat, hbt, hct, hdt, and K.</t>
  </si>
  <si>
    <t xml:space="preserve">ha = SQRT(Lf^2 + Da^2) = </t>
  </si>
  <si>
    <t xml:space="preserve">hb = SQRT(Lf^2 + Db^2) = </t>
  </si>
  <si>
    <t>hc = SQRT(Lr^2 + Dc^2) =</t>
  </si>
  <si>
    <t>hd = SQRT(Lr^2 + Dd^2) =</t>
  </si>
  <si>
    <t>The same equation can be applied to the other provisions.</t>
  </si>
  <si>
    <t>K^2 = S^2 + hat^2 - 2ShatCOS(SA)</t>
  </si>
  <si>
    <t>K = SQRT(S^2 + hat^2 - 2ShatCOS(SA)) =</t>
  </si>
  <si>
    <t>Determine VA, the angle of the slings with the vertical when the equipment is lifted.</t>
  </si>
  <si>
    <t>hat^2=S^2 + K^2 - 2SKCOS(VAa);</t>
  </si>
  <si>
    <t>Determine the vertical force component, V, at each provision.</t>
  </si>
  <si>
    <t xml:space="preserve">Va = Lr/(Lr + Lf)*Db/(Da + Db)*GW = </t>
  </si>
  <si>
    <t xml:space="preserve">Vb = Lr/(Lr + Lf)*Da/(Da + Db)*GW = </t>
  </si>
  <si>
    <t xml:space="preserve">Vc = Lf/(Lr + Lf)*Dd/(Dc + Dd)*GW = </t>
  </si>
  <si>
    <t xml:space="preserve">Vc = Lf/(Lr + Lf)*Dc/(Dc + Dd)*GW = </t>
  </si>
  <si>
    <t>Determine the static load, R, for each sling leg.</t>
  </si>
  <si>
    <t xml:space="preserve">Ra = Va/COS(VAa) = </t>
  </si>
  <si>
    <t xml:space="preserve">Rb = Vb/COS(VAa) = </t>
  </si>
  <si>
    <t xml:space="preserve">Rc = Vc/COS(VAc) = </t>
  </si>
  <si>
    <t xml:space="preserve">Rd = Vd/COS(VAd) = </t>
  </si>
  <si>
    <t>Determine the required design limit load, T.</t>
  </si>
  <si>
    <t xml:space="preserve">Ta = Ra*LF = </t>
  </si>
  <si>
    <t xml:space="preserve">Tb = Rb*LF = </t>
  </si>
  <si>
    <t xml:space="preserve">Tc = Rc*LF = </t>
  </si>
  <si>
    <t>Td = Rd*LF =</t>
  </si>
  <si>
    <t>Determine the required design limit load, U.</t>
  </si>
  <si>
    <t xml:space="preserve">Ua = Ta*1.5 = </t>
  </si>
  <si>
    <t xml:space="preserve">Ub = Ta*1.5 = </t>
  </si>
  <si>
    <t xml:space="preserve">Uc = Ta*1.5 = </t>
  </si>
  <si>
    <t xml:space="preserve">Ud = Ta*1.5 = </t>
  </si>
  <si>
    <t>Determine the apex height, Ha.</t>
  </si>
  <si>
    <t>Ha = Hf + Ht + K</t>
  </si>
  <si>
    <r>
      <t xml:space="preserve">design purposes and for testing.  There are two steps for these calculations. </t>
    </r>
    <r>
      <rPr>
        <b/>
        <sz val="10"/>
        <color indexed="39"/>
        <rFont val="Times New Roman"/>
        <family val="0"/>
      </rPr>
      <t>STEP ONE</t>
    </r>
    <r>
      <rPr>
        <i/>
        <sz val="10"/>
        <color indexed="39"/>
        <rFont val="Times New Roman"/>
        <family val="0"/>
      </rPr>
      <t xml:space="preserve"> is to</t>
    </r>
  </si>
  <si>
    <r>
      <t xml:space="preserve">determine the load factor and </t>
    </r>
    <r>
      <rPr>
        <b/>
        <sz val="10"/>
        <color indexed="39"/>
        <rFont val="Times New Roman"/>
        <family val="0"/>
      </rPr>
      <t>STEP TWO</t>
    </r>
    <r>
      <rPr>
        <i/>
        <sz val="10"/>
        <color indexed="39"/>
        <rFont val="Times New Roman"/>
        <family val="0"/>
      </rPr>
      <t xml:space="preserve"> is to calculate the loads and sling angles. </t>
    </r>
  </si>
  <si>
    <r>
      <t xml:space="preserve">with respect to the horizontal </t>
    </r>
    <r>
      <rPr>
        <i/>
        <sz val="10"/>
        <color indexed="8"/>
        <rFont val="Times New Roman"/>
        <family val="1"/>
      </rPr>
      <t>(nose down or nose up attitude during lifting)</t>
    </r>
  </si>
  <si>
    <r>
      <t xml:space="preserve">Determine </t>
    </r>
    <r>
      <rPr>
        <b/>
        <sz val="10"/>
        <rFont val="Symbol"/>
        <family val="1"/>
      </rPr>
      <t>b</t>
    </r>
    <r>
      <rPr>
        <b/>
        <sz val="10"/>
        <rFont val="Times New Roman"/>
        <family val="1"/>
      </rPr>
      <t>, the angle of the plane of the provisions with respect to the horizontal, and Lxy.</t>
    </r>
  </si>
  <si>
    <r>
      <t>Hr-Hf=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=</t>
    </r>
  </si>
  <si>
    <r>
      <t>TAN(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)=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/L;</t>
    </r>
  </si>
  <si>
    <r>
      <t>b</t>
    </r>
    <r>
      <rPr>
        <sz val="10"/>
        <rFont val="Times New Roman"/>
        <family val="1"/>
      </rPr>
      <t>=TAN^-1(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/L)=</t>
    </r>
  </si>
  <si>
    <r>
      <t>COS(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)=L/Lxy;</t>
    </r>
  </si>
  <si>
    <r>
      <t>Lxy=L/COS(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</t>
    </r>
  </si>
  <si>
    <r>
      <t>Determine h</t>
    </r>
    <r>
      <rPr>
        <b/>
        <vertAlign val="subscript"/>
        <sz val="10"/>
        <rFont val="Times New Roman"/>
        <family val="0"/>
      </rPr>
      <t>L</t>
    </r>
    <r>
      <rPr>
        <b/>
        <sz val="10"/>
        <rFont val="Times New Roman"/>
        <family val="0"/>
      </rPr>
      <t xml:space="preserve"> and S (these are constant for all slings).</t>
    </r>
  </si>
  <si>
    <r>
      <t>To solve for h</t>
    </r>
    <r>
      <rPr>
        <b/>
        <vertAlign val="subscript"/>
        <sz val="10"/>
        <rFont val="Times New Roman"/>
        <family val="0"/>
      </rPr>
      <t>L</t>
    </r>
    <r>
      <rPr>
        <b/>
        <sz val="10"/>
        <rFont val="Times New Roman"/>
        <family val="0"/>
      </rPr>
      <t>, we have three equations and three unknowns.</t>
    </r>
  </si>
  <si>
    <r>
      <t>h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 SQRT(Dab^2 + Lx^2)</t>
    </r>
  </si>
  <si>
    <r>
      <t>h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 SQRT(Dcd^2 + Ly^2)</t>
    </r>
  </si>
  <si>
    <r>
      <t>h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 SQRT(Dab^2 + (Lxy - Ly)^2) = SQRT(Dcd^2 + Ly^2)</t>
    </r>
  </si>
  <si>
    <r>
      <t>And then solve for Lx and h</t>
    </r>
    <r>
      <rPr>
        <b/>
        <vertAlign val="subscript"/>
        <sz val="10"/>
        <rFont val="Times New Roman"/>
        <family val="0"/>
      </rPr>
      <t>L.</t>
    </r>
  </si>
  <si>
    <r>
      <t>h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= SQRT(Dab^2 + Lx^2) =</t>
    </r>
  </si>
  <si>
    <r>
      <t>COS(45) = h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>/S;</t>
    </r>
  </si>
  <si>
    <r>
      <t>S = h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>/COS(45)=</t>
    </r>
  </si>
  <si>
    <r>
      <t>COS(SA)=h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/S;  </t>
    </r>
  </si>
  <si>
    <r>
      <t>SA = COS^-1(h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>/S) =</t>
    </r>
  </si>
  <si>
    <r>
      <t>COS(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 = ha/hat;</t>
    </r>
  </si>
  <si>
    <r>
      <t>hat = ha/COS(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 =</t>
    </r>
  </si>
  <si>
    <r>
      <t>COS(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 = hb/hbt;</t>
    </r>
  </si>
  <si>
    <r>
      <t>hbt = hb/COS(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 =</t>
    </r>
  </si>
  <si>
    <r>
      <t>COS(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 = hc/hct;</t>
    </r>
  </si>
  <si>
    <r>
      <t>hct = hc/COS(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 =</t>
    </r>
  </si>
  <si>
    <r>
      <t>COS(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 = hd/hdt;</t>
    </r>
  </si>
  <si>
    <r>
      <t>hdt = hd/COS(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 =</t>
    </r>
  </si>
  <si>
    <r>
      <t>VAa = COS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(S^2 + K^2 - hat^2/2SK) = </t>
    </r>
  </si>
  <si>
    <r>
      <t>VAb = COS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(S^2 + K^2 - hbt^2/2SK) = </t>
    </r>
  </si>
  <si>
    <r>
      <t>VAc = COS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(S^2 + K^2 - hct^2/2SK) = </t>
    </r>
  </si>
  <si>
    <r>
      <t>VAd = COS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(S^2 + K^2 - hdt^2/2SK) = </t>
    </r>
  </si>
  <si>
    <r>
      <t>Ht = TAN(</t>
    </r>
    <r>
      <rPr>
        <sz val="10"/>
        <rFont val="Symbol"/>
        <family val="1"/>
      </rPr>
      <t>b</t>
    </r>
    <r>
      <rPr>
        <sz val="10"/>
        <rFont val="Times New Roman"/>
        <family val="1"/>
      </rPr>
      <t>)(ha) =</t>
    </r>
  </si>
  <si>
    <t>L1 – longitudinal distance from CG to right front tie-down provision (1)</t>
  </si>
  <si>
    <t>S1 – lateral distance from CG to right front tie-down provision (1)</t>
  </si>
  <si>
    <t>S2 – lateral distance from CG to left front tie-down provision (2)</t>
  </si>
  <si>
    <t>S3 – lateral distance from CG to right rear tie-down provision (3)</t>
  </si>
  <si>
    <t>S4 – lateral distance from CG to left rear tie-down provision (4)</t>
  </si>
  <si>
    <t>L2 – longitudinal distance from CG to left front tie-down provision (2)</t>
  </si>
  <si>
    <t>L3 – longitudinal distance from CG to right rear tie-down provision (3)</t>
  </si>
  <si>
    <t>L4 – longitudinal distance from CG to left rear tie-down provision (4)</t>
  </si>
  <si>
    <t>Lf – longitudinal distance from CG to front slinging provisions</t>
  </si>
  <si>
    <t>Lr – longitudinal distance from CG to rear slinging provisions</t>
  </si>
  <si>
    <t>Hf – height from ground to front slinging provisions</t>
  </si>
  <si>
    <t>Hr – height from ground to rear slinging provisions</t>
  </si>
  <si>
    <t>Da – lateral distance from CG to front left slinging provision</t>
  </si>
  <si>
    <t>Db – lateral distance from CG to front right slinging provision</t>
  </si>
  <si>
    <t>Dc – lateral distance from CG to rear right slinging provision</t>
  </si>
  <si>
    <t>Dd – lateral distance from CG to rear left slinging provision</t>
  </si>
  <si>
    <t xml:space="preserve">GSW </t>
  </si>
  <si>
    <t>lb</t>
  </si>
  <si>
    <t>Basis of calculated and applied loadings</t>
  </si>
  <si>
    <t>VALUE,     IN.</t>
  </si>
  <si>
    <t>SLING INCLINATION FROM VERTICAL, DEGREES</t>
  </si>
  <si>
    <t>SLING LENGTH,          IN.</t>
  </si>
  <si>
    <t>DESIGN LOAD,        LBF</t>
  </si>
  <si>
    <t>ULTIMATE LOAD,             LBF</t>
  </si>
  <si>
    <t>Apex height, ft</t>
  </si>
  <si>
    <t>Inclination, plane of provisions, degrees</t>
  </si>
  <si>
    <t>LONGITUDINAL</t>
  </si>
  <si>
    <t>LATERAL</t>
  </si>
  <si>
    <t>VERTICAL</t>
  </si>
  <si>
    <t>DESIGN LOADS, LBF</t>
  </si>
  <si>
    <t>CALCULATED EQUIPMENT TIE-DOWN PROVISION PARAMETERS</t>
  </si>
  <si>
    <t>CALCULATED SLINGING PROVISION PARAMETERS</t>
  </si>
  <si>
    <t>C - rear right</t>
  </si>
  <si>
    <t>D - rear left</t>
  </si>
  <si>
    <t>A - front right</t>
  </si>
  <si>
    <t>B - front left</t>
  </si>
  <si>
    <t>C - rear left</t>
  </si>
  <si>
    <t>D - rear right</t>
  </si>
  <si>
    <t>Weight</t>
  </si>
  <si>
    <t>CG</t>
  </si>
  <si>
    <t>Above Ground</t>
  </si>
  <si>
    <t>Fwd of Rear Axle</t>
  </si>
  <si>
    <t>Front Lift</t>
  </si>
  <si>
    <t>Left of Long CntrLine</t>
  </si>
  <si>
    <t>Rear Lift</t>
  </si>
  <si>
    <t>Front TD</t>
  </si>
  <si>
    <t>Rear TD</t>
  </si>
  <si>
    <t>Right of Long CntrLine</t>
  </si>
  <si>
    <t>Provision Locations</t>
  </si>
  <si>
    <t>Prepared by:</t>
  </si>
  <si>
    <t>Reviewed by:</t>
  </si>
  <si>
    <t>MIL-STD-209K Tiedown Calculations</t>
  </si>
  <si>
    <t>MIL-STD-209K Lifting Calculations</t>
  </si>
  <si>
    <t>These calculations determine the design loads and ultimate loads for MIL-STD-209K.  The data from</t>
  </si>
  <si>
    <t xml:space="preserve">required to meet MIL-STD-209K. The data generated from these calculations should be used for </t>
  </si>
  <si>
    <t>Total proof load apex value:</t>
  </si>
  <si>
    <t>Maximum Longitudinal Loading</t>
  </si>
  <si>
    <t>Maximum Front Lateral Loading</t>
  </si>
  <si>
    <t>Maximum Rear Lateral Loading</t>
  </si>
  <si>
    <t>Maximum Front Vertical Down Loading</t>
  </si>
  <si>
    <t>Maximum Rear Vertical Down Loading</t>
  </si>
  <si>
    <t>Crane Lift Proof Load</t>
  </si>
  <si>
    <t>Plane of provisions [or interference]</t>
  </si>
  <si>
    <r>
      <t xml:space="preserve">β – </t>
    </r>
    <r>
      <rPr>
        <sz val="11"/>
        <rFont val="Arial"/>
        <family val="2"/>
      </rPr>
      <t>Inclination from front to rear provision pairs, load on level surface</t>
    </r>
  </si>
  <si>
    <t>Results of the MIL-STD-209K Tiedown Calculations</t>
  </si>
  <si>
    <t>The equations are exactly the same as in Appendix C of MIL-STD-209K.</t>
  </si>
  <si>
    <t>Results of the MIL-STD-209K Lifting Calculations</t>
  </si>
  <si>
    <t>The equations are exactly the same as in Appendix B of MIL-STD-209K.</t>
  </si>
  <si>
    <t>Date: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</si>
</sst>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#,##0.0"/>
    <numFmt numFmtId="168" formatCode="0.0_)"/>
    <numFmt numFmtId="169" formatCode="_(* #,##0.0_);_(* \(#,##0.0\);_(* &quot;-&quot;??_);_(@_)"/>
    <numFmt numFmtId="170" formatCode="_(* #,##0_);_(* \(#,##0\);_(* &quot;-&quot;??_);_(@_)"/>
    <numFmt numFmtId="171" formatCode=";;;"/>
    <numFmt numFmtId="172" formatCode="[$-409]dddd\,\ mmmm\ dd\,\ yyyy"/>
    <numFmt numFmtId="173" formatCode="[$-409]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3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39"/>
      <name val="Times New Roman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0"/>
    </font>
    <font>
      <b/>
      <i/>
      <sz val="12"/>
      <name val="Times New Roman"/>
      <family val="0"/>
    </font>
    <font>
      <sz val="11"/>
      <name val="Arial"/>
      <family val="2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39"/>
      <name val="Times New Roman"/>
      <family val="0"/>
    </font>
    <font>
      <b/>
      <sz val="10"/>
      <color indexed="8"/>
      <name val="Times New Roman"/>
      <family val="0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i/>
      <sz val="10"/>
      <color indexed="12"/>
      <name val="Times New Roman"/>
      <family val="0"/>
    </font>
    <font>
      <i/>
      <sz val="10"/>
      <name val="Times New Roman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0"/>
    </font>
    <font>
      <i/>
      <sz val="10"/>
      <color indexed="8"/>
      <name val="Times New Roman"/>
      <family val="0"/>
    </font>
    <font>
      <b/>
      <i/>
      <sz val="12"/>
      <color indexed="8"/>
      <name val="Times New Roman"/>
      <family val="1"/>
    </font>
    <font>
      <b/>
      <sz val="10"/>
      <name val="Symbol"/>
      <family val="1"/>
    </font>
    <font>
      <sz val="10"/>
      <name val="Symbol"/>
      <family val="1"/>
    </font>
    <font>
      <b/>
      <vertAlign val="subscript"/>
      <sz val="10"/>
      <name val="Times New Roman"/>
      <family val="0"/>
    </font>
    <font>
      <vertAlign val="superscript"/>
      <sz val="10"/>
      <name val="Times New Roman"/>
      <family val="1"/>
    </font>
    <font>
      <b/>
      <sz val="10"/>
      <name val="Courier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4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Protection="0">
      <alignment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8">
    <xf numFmtId="164" fontId="0" fillId="0" borderId="0" xfId="0" applyAlignment="1">
      <alignment/>
    </xf>
    <xf numFmtId="164" fontId="0" fillId="0" borderId="0" xfId="0" applyBorder="1" applyAlignment="1">
      <alignment/>
    </xf>
    <xf numFmtId="170" fontId="6" fillId="0" borderId="0" xfId="42" applyNumberFormat="1" applyFont="1" applyBorder="1" applyAlignment="1" applyProtection="1">
      <alignment horizontal="left"/>
      <protection locked="0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0" fillId="0" borderId="0" xfId="0" applyAlignment="1">
      <alignment horizontal="center" wrapText="1"/>
    </xf>
    <xf numFmtId="3" fontId="14" fillId="0" borderId="0" xfId="0" applyNumberFormat="1" applyFont="1" applyBorder="1" applyAlignment="1">
      <alignment horizontal="center"/>
    </xf>
    <xf numFmtId="164" fontId="14" fillId="0" borderId="10" xfId="0" applyFont="1" applyBorder="1" applyAlignment="1">
      <alignment horizontal="center" vertical="top" wrapText="1"/>
    </xf>
    <xf numFmtId="166" fontId="14" fillId="0" borderId="11" xfId="0" applyNumberFormat="1" applyFont="1" applyBorder="1" applyAlignment="1">
      <alignment horizontal="center"/>
    </xf>
    <xf numFmtId="164" fontId="14" fillId="0" borderId="12" xfId="0" applyFont="1" applyBorder="1" applyAlignment="1">
      <alignment vertical="top" wrapText="1"/>
    </xf>
    <xf numFmtId="164" fontId="14" fillId="0" borderId="13" xfId="0" applyFont="1" applyBorder="1" applyAlignment="1">
      <alignment horizontal="center" vertical="top" wrapText="1"/>
    </xf>
    <xf numFmtId="164" fontId="14" fillId="0" borderId="14" xfId="0" applyFont="1" applyBorder="1" applyAlignment="1">
      <alignment/>
    </xf>
    <xf numFmtId="164" fontId="14" fillId="0" borderId="0" xfId="0" applyFont="1" applyAlignment="1">
      <alignment horizontal="center" wrapText="1"/>
    </xf>
    <xf numFmtId="164" fontId="14" fillId="0" borderId="12" xfId="0" applyFont="1" applyBorder="1" applyAlignment="1">
      <alignment/>
    </xf>
    <xf numFmtId="3" fontId="14" fillId="0" borderId="15" xfId="0" applyNumberFormat="1" applyFont="1" applyBorder="1" applyAlignment="1">
      <alignment/>
    </xf>
    <xf numFmtId="166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164" fontId="14" fillId="33" borderId="12" xfId="0" applyFont="1" applyFill="1" applyBorder="1" applyAlignment="1">
      <alignment horizontal="center"/>
    </xf>
    <xf numFmtId="164" fontId="14" fillId="33" borderId="15" xfId="0" applyFont="1" applyFill="1" applyBorder="1" applyAlignment="1">
      <alignment horizontal="center"/>
    </xf>
    <xf numFmtId="164" fontId="14" fillId="33" borderId="14" xfId="0" applyFont="1" applyFill="1" applyBorder="1" applyAlignment="1">
      <alignment horizontal="center" wrapText="1"/>
    </xf>
    <xf numFmtId="164" fontId="14" fillId="34" borderId="12" xfId="0" applyFont="1" applyFill="1" applyBorder="1" applyAlignment="1">
      <alignment horizontal="center" wrapText="1"/>
    </xf>
    <xf numFmtId="164" fontId="14" fillId="34" borderId="15" xfId="0" applyFont="1" applyFill="1" applyBorder="1" applyAlignment="1">
      <alignment horizontal="center" wrapText="1"/>
    </xf>
    <xf numFmtId="164" fontId="14" fillId="34" borderId="11" xfId="0" applyFont="1" applyFill="1" applyBorder="1" applyAlignment="1">
      <alignment horizontal="center" wrapText="1"/>
    </xf>
    <xf numFmtId="164" fontId="14" fillId="33" borderId="0" xfId="0" applyFont="1" applyFill="1" applyBorder="1" applyAlignment="1">
      <alignment horizontal="center" wrapText="1"/>
    </xf>
    <xf numFmtId="164" fontId="35" fillId="0" borderId="0" xfId="0" applyFont="1" applyAlignment="1">
      <alignment/>
    </xf>
    <xf numFmtId="3" fontId="35" fillId="0" borderId="0" xfId="0" applyNumberFormat="1" applyFont="1" applyAlignment="1">
      <alignment horizontal="center"/>
    </xf>
    <xf numFmtId="166" fontId="14" fillId="0" borderId="10" xfId="0" applyNumberFormat="1" applyFont="1" applyBorder="1" applyAlignment="1">
      <alignment horizontal="center"/>
    </xf>
    <xf numFmtId="164" fontId="37" fillId="0" borderId="0" xfId="0" applyFont="1" applyAlignment="1">
      <alignment/>
    </xf>
    <xf numFmtId="164" fontId="2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73" fontId="2" fillId="0" borderId="0" xfId="0" applyNumberFormat="1" applyFont="1" applyBorder="1" applyAlignment="1" applyProtection="1">
      <alignment/>
      <protection locked="0"/>
    </xf>
    <xf numFmtId="164" fontId="2" fillId="0" borderId="15" xfId="0" applyFont="1" applyBorder="1" applyAlignment="1" applyProtection="1">
      <alignment/>
      <protection locked="0"/>
    </xf>
    <xf numFmtId="164" fontId="13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right"/>
      <protection locked="0"/>
    </xf>
    <xf numFmtId="164" fontId="8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/>
      <protection locked="0"/>
    </xf>
    <xf numFmtId="164" fontId="2" fillId="0" borderId="16" xfId="0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left"/>
      <protection locked="0"/>
    </xf>
    <xf numFmtId="164" fontId="2" fillId="0" borderId="17" xfId="0" applyFont="1" applyBorder="1" applyAlignment="1" applyProtection="1">
      <alignment horizontal="center"/>
      <protection locked="0"/>
    </xf>
    <xf numFmtId="164" fontId="2" fillId="0" borderId="18" xfId="0" applyFont="1" applyBorder="1" applyAlignment="1" applyProtection="1">
      <alignment horizontal="center"/>
      <protection locked="0"/>
    </xf>
    <xf numFmtId="164" fontId="2" fillId="0" borderId="19" xfId="0" applyFont="1" applyBorder="1" applyAlignment="1" applyProtection="1">
      <alignment horizontal="center"/>
      <protection locked="0"/>
    </xf>
    <xf numFmtId="3" fontId="7" fillId="0" borderId="20" xfId="0" applyNumberFormat="1" applyFont="1" applyBorder="1" applyAlignment="1" applyProtection="1">
      <alignment horizontal="left"/>
      <protection locked="0"/>
    </xf>
    <xf numFmtId="164" fontId="2" fillId="0" borderId="20" xfId="0" applyFont="1" applyBorder="1" applyAlignment="1" applyProtection="1">
      <alignment horizontal="right"/>
      <protection locked="0"/>
    </xf>
    <xf numFmtId="164" fontId="2" fillId="0" borderId="21" xfId="0" applyFont="1" applyBorder="1" applyAlignment="1" applyProtection="1">
      <alignment horizontal="center"/>
      <protection locked="0"/>
    </xf>
    <xf numFmtId="164" fontId="2" fillId="0" borderId="22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2" fillId="0" borderId="23" xfId="0" applyFont="1" applyBorder="1" applyAlignment="1" applyProtection="1">
      <alignment horizontal="center"/>
      <protection locked="0"/>
    </xf>
    <xf numFmtId="164" fontId="11" fillId="0" borderId="22" xfId="0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170" fontId="6" fillId="0" borderId="23" xfId="42" applyNumberFormat="1" applyFont="1" applyBorder="1" applyAlignment="1" applyProtection="1">
      <alignment horizontal="center"/>
      <protection locked="0"/>
    </xf>
    <xf numFmtId="164" fontId="13" fillId="0" borderId="24" xfId="0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170" fontId="6" fillId="0" borderId="10" xfId="42" applyNumberFormat="1" applyFont="1" applyBorder="1" applyAlignment="1" applyProtection="1">
      <alignment horizontal="left"/>
      <protection locked="0"/>
    </xf>
    <xf numFmtId="170" fontId="6" fillId="0" borderId="25" xfId="42" applyNumberFormat="1" applyFont="1" applyBorder="1" applyAlignment="1" applyProtection="1">
      <alignment horizontal="center"/>
      <protection locked="0"/>
    </xf>
    <xf numFmtId="164" fontId="13" fillId="0" borderId="26" xfId="0" applyFont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/>
      <protection locked="0"/>
    </xf>
    <xf numFmtId="170" fontId="6" fillId="0" borderId="27" xfId="42" applyNumberFormat="1" applyFont="1" applyBorder="1" applyAlignment="1" applyProtection="1">
      <alignment horizontal="center"/>
      <protection locked="0"/>
    </xf>
    <xf numFmtId="170" fontId="6" fillId="0" borderId="28" xfId="42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64" fontId="0" fillId="0" borderId="0" xfId="0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164" fontId="2" fillId="0" borderId="29" xfId="0" applyFont="1" applyBorder="1" applyAlignment="1" applyProtection="1">
      <alignment/>
      <protection locked="0"/>
    </xf>
    <xf numFmtId="164" fontId="2" fillId="0" borderId="29" xfId="0" applyFont="1" applyBorder="1" applyAlignment="1" applyProtection="1">
      <alignment horizontal="right"/>
      <protection locked="0"/>
    </xf>
    <xf numFmtId="164" fontId="2" fillId="0" borderId="15" xfId="0" applyFont="1" applyBorder="1" applyAlignment="1" applyProtection="1">
      <alignment horizontal="right"/>
      <protection locked="0"/>
    </xf>
    <xf numFmtId="173" fontId="2" fillId="0" borderId="0" xfId="0" applyNumberFormat="1" applyFont="1" applyBorder="1" applyAlignment="1" applyProtection="1">
      <alignment/>
      <protection/>
    </xf>
    <xf numFmtId="164" fontId="18" fillId="0" borderId="0" xfId="0" applyFont="1" applyBorder="1" applyAlignment="1" applyProtection="1">
      <alignment/>
      <protection locked="0"/>
    </xf>
    <xf numFmtId="166" fontId="8" fillId="0" borderId="0" xfId="0" applyNumberFormat="1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wrapText="1"/>
      <protection locked="0"/>
    </xf>
    <xf numFmtId="164" fontId="19" fillId="0" borderId="0" xfId="0" applyFont="1" applyBorder="1" applyAlignment="1" applyProtection="1">
      <alignment/>
      <protection locked="0"/>
    </xf>
    <xf numFmtId="170" fontId="8" fillId="0" borderId="0" xfId="44" applyNumberFormat="1" applyFont="1" applyBorder="1" applyAlignment="1" applyProtection="1">
      <alignment wrapText="1"/>
      <protection locked="0"/>
    </xf>
    <xf numFmtId="164" fontId="19" fillId="0" borderId="0" xfId="0" applyFont="1" applyBorder="1" applyAlignment="1" applyProtection="1">
      <alignment/>
      <protection locked="0"/>
    </xf>
    <xf numFmtId="43" fontId="8" fillId="0" borderId="0" xfId="44" applyFont="1" applyBorder="1" applyAlignment="1" applyProtection="1">
      <alignment wrapText="1"/>
      <protection locked="0"/>
    </xf>
    <xf numFmtId="43" fontId="6" fillId="0" borderId="0" xfId="44" applyFont="1" applyBorder="1" applyAlignment="1" applyProtection="1">
      <alignment wrapText="1"/>
      <protection locked="0"/>
    </xf>
    <xf numFmtId="164" fontId="20" fillId="0" borderId="0" xfId="0" applyFont="1" applyBorder="1" applyAlignment="1" applyProtection="1">
      <alignment wrapText="1"/>
      <protection locked="0"/>
    </xf>
    <xf numFmtId="164" fontId="21" fillId="0" borderId="0" xfId="0" applyFont="1" applyBorder="1" applyAlignment="1" applyProtection="1">
      <alignment wrapText="1"/>
      <protection locked="0"/>
    </xf>
    <xf numFmtId="168" fontId="22" fillId="0" borderId="0" xfId="0" applyNumberFormat="1" applyFont="1" applyBorder="1" applyAlignment="1" applyProtection="1">
      <alignment horizontal="left"/>
      <protection locked="0"/>
    </xf>
    <xf numFmtId="171" fontId="23" fillId="0" borderId="0" xfId="0" applyNumberFormat="1" applyFont="1" applyBorder="1" applyAlignment="1" applyProtection="1">
      <alignment/>
      <protection locked="0"/>
    </xf>
    <xf numFmtId="168" fontId="8" fillId="0" borderId="0" xfId="0" applyNumberFormat="1" applyFont="1" applyBorder="1" applyAlignment="1" applyProtection="1">
      <alignment horizontal="left"/>
      <protection locked="0"/>
    </xf>
    <xf numFmtId="164" fontId="24" fillId="0" borderId="0" xfId="0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164" fontId="18" fillId="0" borderId="0" xfId="0" applyFont="1" applyBorder="1" applyAlignment="1" applyProtection="1">
      <alignment/>
      <protection locked="0"/>
    </xf>
    <xf numFmtId="164" fontId="25" fillId="0" borderId="0" xfId="0" applyFont="1" applyBorder="1" applyAlignment="1" applyProtection="1">
      <alignment/>
      <protection locked="0"/>
    </xf>
    <xf numFmtId="164" fontId="21" fillId="0" borderId="0" xfId="0" applyFont="1" applyBorder="1" applyAlignment="1" applyProtection="1">
      <alignment horizontal="right"/>
      <protection locked="0"/>
    </xf>
    <xf numFmtId="164" fontId="6" fillId="0" borderId="0" xfId="0" applyFont="1" applyBorder="1" applyAlignment="1" applyProtection="1">
      <alignment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2" fillId="0" borderId="20" xfId="0" applyFont="1" applyBorder="1" applyAlignment="1" applyProtection="1">
      <alignment horizontal="center"/>
      <protection locked="0"/>
    </xf>
    <xf numFmtId="164" fontId="26" fillId="0" borderId="22" xfId="0" applyFont="1" applyBorder="1" applyAlignment="1" applyProtection="1">
      <alignment/>
      <protection locked="0"/>
    </xf>
    <xf numFmtId="164" fontId="2" fillId="0" borderId="23" xfId="0" applyFont="1" applyBorder="1" applyAlignment="1" applyProtection="1">
      <alignment wrapText="1"/>
      <protection locked="0"/>
    </xf>
    <xf numFmtId="164" fontId="27" fillId="0" borderId="22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 wrapText="1"/>
      <protection locked="0"/>
    </xf>
    <xf numFmtId="170" fontId="6" fillId="0" borderId="0" xfId="44" applyNumberFormat="1" applyFont="1" applyBorder="1" applyAlignment="1" applyProtection="1">
      <alignment wrapText="1"/>
      <protection locked="0"/>
    </xf>
    <xf numFmtId="170" fontId="6" fillId="0" borderId="23" xfId="44" applyNumberFormat="1" applyFont="1" applyBorder="1" applyAlignment="1" applyProtection="1">
      <alignment wrapText="1"/>
      <protection locked="0"/>
    </xf>
    <xf numFmtId="164" fontId="27" fillId="0" borderId="26" xfId="0" applyFont="1" applyBorder="1" applyAlignment="1" applyProtection="1">
      <alignment/>
      <protection locked="0"/>
    </xf>
    <xf numFmtId="165" fontId="6" fillId="0" borderId="27" xfId="0" applyNumberFormat="1" applyFont="1" applyBorder="1" applyAlignment="1" applyProtection="1">
      <alignment horizontal="center" wrapText="1"/>
      <protection locked="0"/>
    </xf>
    <xf numFmtId="170" fontId="6" fillId="0" borderId="27" xfId="44" applyNumberFormat="1" applyFont="1" applyBorder="1" applyAlignment="1" applyProtection="1">
      <alignment wrapText="1"/>
      <protection locked="0"/>
    </xf>
    <xf numFmtId="170" fontId="6" fillId="0" borderId="28" xfId="44" applyNumberFormat="1" applyFont="1" applyBorder="1" applyAlignment="1" applyProtection="1">
      <alignment wrapText="1"/>
      <protection locked="0"/>
    </xf>
    <xf numFmtId="164" fontId="27" fillId="0" borderId="30" xfId="0" applyFont="1" applyBorder="1" applyAlignment="1" applyProtection="1">
      <alignment/>
      <protection locked="0"/>
    </xf>
    <xf numFmtId="168" fontId="6" fillId="0" borderId="31" xfId="0" applyNumberFormat="1" applyFont="1" applyBorder="1" applyAlignment="1" applyProtection="1">
      <alignment wrapText="1"/>
      <protection locked="0"/>
    </xf>
    <xf numFmtId="164" fontId="2" fillId="0" borderId="31" xfId="0" applyFont="1" applyBorder="1" applyAlignment="1" applyProtection="1">
      <alignment wrapText="1"/>
      <protection locked="0"/>
    </xf>
    <xf numFmtId="164" fontId="28" fillId="0" borderId="31" xfId="0" applyFont="1" applyBorder="1" applyAlignment="1" applyProtection="1">
      <alignment/>
      <protection locked="0"/>
    </xf>
    <xf numFmtId="164" fontId="2" fillId="0" borderId="32" xfId="0" applyFont="1" applyBorder="1" applyAlignment="1" applyProtection="1">
      <alignment wrapText="1"/>
      <protection locked="0"/>
    </xf>
    <xf numFmtId="164" fontId="27" fillId="0" borderId="16" xfId="0" applyFont="1" applyBorder="1" applyAlignment="1" applyProtection="1">
      <alignment/>
      <protection locked="0"/>
    </xf>
    <xf numFmtId="168" fontId="6" fillId="0" borderId="17" xfId="0" applyNumberFormat="1" applyFont="1" applyBorder="1" applyAlignment="1" applyProtection="1">
      <alignment wrapText="1"/>
      <protection locked="0"/>
    </xf>
    <xf numFmtId="164" fontId="2" fillId="0" borderId="17" xfId="0" applyFont="1" applyBorder="1" applyAlignment="1" applyProtection="1">
      <alignment wrapText="1"/>
      <protection locked="0"/>
    </xf>
    <xf numFmtId="168" fontId="6" fillId="0" borderId="17" xfId="0" applyNumberFormat="1" applyFont="1" applyBorder="1" applyAlignment="1" applyProtection="1">
      <alignment/>
      <protection locked="0"/>
    </xf>
    <xf numFmtId="164" fontId="2" fillId="0" borderId="18" xfId="0" applyFont="1" applyBorder="1" applyAlignment="1" applyProtection="1">
      <alignment wrapText="1"/>
      <protection locked="0"/>
    </xf>
    <xf numFmtId="168" fontId="6" fillId="0" borderId="27" xfId="0" applyNumberFormat="1" applyFont="1" applyBorder="1" applyAlignment="1" applyProtection="1">
      <alignment wrapText="1"/>
      <protection locked="0"/>
    </xf>
    <xf numFmtId="164" fontId="2" fillId="0" borderId="27" xfId="0" applyFont="1" applyBorder="1" applyAlignment="1" applyProtection="1">
      <alignment wrapText="1"/>
      <protection locked="0"/>
    </xf>
    <xf numFmtId="168" fontId="6" fillId="0" borderId="27" xfId="0" applyNumberFormat="1" applyFont="1" applyBorder="1" applyAlignment="1" applyProtection="1">
      <alignment/>
      <protection locked="0"/>
    </xf>
    <xf numFmtId="164" fontId="2" fillId="0" borderId="28" xfId="0" applyFont="1" applyBorder="1" applyAlignment="1" applyProtection="1">
      <alignment wrapText="1"/>
      <protection locked="0"/>
    </xf>
    <xf numFmtId="164" fontId="29" fillId="0" borderId="0" xfId="0" applyFont="1" applyBorder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 wrapText="1"/>
      <protection locked="0"/>
    </xf>
    <xf numFmtId="164" fontId="6" fillId="0" borderId="0" xfId="0" applyFont="1" applyBorder="1" applyAlignment="1" applyProtection="1">
      <alignment wrapText="1"/>
      <protection locked="0"/>
    </xf>
    <xf numFmtId="164" fontId="6" fillId="0" borderId="15" xfId="0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164" fontId="31" fillId="0" borderId="0" xfId="0" applyFont="1" applyBorder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/>
      <protection locked="0"/>
    </xf>
    <xf numFmtId="166" fontId="7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164" fontId="35" fillId="0" borderId="0" xfId="0" applyFont="1" applyAlignment="1" applyProtection="1">
      <alignment/>
      <protection locked="0"/>
    </xf>
    <xf numFmtId="164" fontId="36" fillId="0" borderId="0" xfId="0" applyFont="1" applyAlignment="1" applyProtection="1">
      <alignment/>
      <protection locked="0"/>
    </xf>
    <xf numFmtId="164" fontId="35" fillId="0" borderId="10" xfId="0" applyFont="1" applyBorder="1" applyAlignment="1" applyProtection="1">
      <alignment/>
      <protection locked="0"/>
    </xf>
    <xf numFmtId="3" fontId="35" fillId="0" borderId="10" xfId="0" applyNumberFormat="1" applyFont="1" applyBorder="1" applyAlignment="1" applyProtection="1">
      <alignment/>
      <protection locked="0"/>
    </xf>
    <xf numFmtId="2" fontId="35" fillId="0" borderId="0" xfId="0" applyNumberFormat="1" applyFont="1" applyAlignment="1" applyProtection="1">
      <alignment/>
      <protection locked="0"/>
    </xf>
    <xf numFmtId="2" fontId="35" fillId="0" borderId="10" xfId="0" applyNumberFormat="1" applyFont="1" applyBorder="1" applyAlignment="1" applyProtection="1">
      <alignment/>
      <protection locked="0"/>
    </xf>
    <xf numFmtId="164" fontId="35" fillId="0" borderId="0" xfId="0" applyFont="1" applyAlignment="1" applyProtection="1">
      <alignment horizontal="center"/>
      <protection/>
    </xf>
    <xf numFmtId="164" fontId="12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left"/>
      <protection locked="0"/>
    </xf>
    <xf numFmtId="164" fontId="34" fillId="0" borderId="0" xfId="0" applyFont="1" applyAlignment="1" applyProtection="1">
      <alignment horizontal="left"/>
      <protection locked="0"/>
    </xf>
    <xf numFmtId="164" fontId="11" fillId="0" borderId="0" xfId="0" applyFont="1" applyBorder="1" applyAlignment="1" applyProtection="1">
      <alignment horizontal="left"/>
      <protection locked="0"/>
    </xf>
    <xf numFmtId="164" fontId="2" fillId="0" borderId="10" xfId="0" applyFont="1" applyBorder="1" applyAlignment="1" applyProtection="1">
      <alignment horizontal="left"/>
      <protection locked="0"/>
    </xf>
    <xf numFmtId="164" fontId="26" fillId="0" borderId="27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left"/>
      <protection/>
    </xf>
    <xf numFmtId="164" fontId="34" fillId="0" borderId="0" xfId="0" applyFont="1" applyAlignment="1" applyProtection="1">
      <alignment horizontal="left"/>
      <protection/>
    </xf>
    <xf numFmtId="164" fontId="2" fillId="0" borderId="10" xfId="0" applyFont="1" applyBorder="1" applyAlignment="1" applyProtection="1">
      <alignment horizontal="left"/>
      <protection/>
    </xf>
    <xf numFmtId="164" fontId="14" fillId="34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0" fillId="33" borderId="0" xfId="0" applyFill="1" applyAlignment="1">
      <alignment/>
    </xf>
    <xf numFmtId="164" fontId="14" fillId="33" borderId="14" xfId="0" applyFont="1" applyFill="1" applyBorder="1" applyAlignment="1">
      <alignment horizontal="center" wrapText="1"/>
    </xf>
    <xf numFmtId="164" fontId="0" fillId="33" borderId="13" xfId="0" applyFill="1" applyBorder="1" applyAlignment="1">
      <alignment horizontal="center" wrapText="1"/>
    </xf>
    <xf numFmtId="164" fontId="14" fillId="0" borderId="11" xfId="0" applyFont="1" applyBorder="1" applyAlignment="1">
      <alignment/>
    </xf>
    <xf numFmtId="164" fontId="14" fillId="33" borderId="33" xfId="0" applyFont="1" applyFill="1" applyBorder="1" applyAlignment="1">
      <alignment horizontal="center"/>
    </xf>
    <xf numFmtId="164" fontId="14" fillId="33" borderId="11" xfId="0" applyFont="1" applyFill="1" applyBorder="1" applyAlignment="1">
      <alignment horizontal="center"/>
    </xf>
    <xf numFmtId="164" fontId="14" fillId="33" borderId="12" xfId="0" applyFont="1" applyFill="1" applyBorder="1" applyAlignment="1">
      <alignment horizontal="center"/>
    </xf>
    <xf numFmtId="164" fontId="14" fillId="33" borderId="34" xfId="0" applyFont="1" applyFill="1" applyBorder="1" applyAlignment="1">
      <alignment horizontal="center"/>
    </xf>
    <xf numFmtId="164" fontId="35" fillId="0" borderId="34" xfId="0" applyFont="1" applyBorder="1" applyAlignment="1" applyProtection="1">
      <alignment horizontal="center" vertical="center"/>
      <protection locked="0"/>
    </xf>
    <xf numFmtId="164" fontId="35" fillId="0" borderId="0" xfId="0" applyFont="1" applyBorder="1" applyAlignment="1" applyProtection="1">
      <alignment horizontal="center" vertical="center"/>
      <protection locked="0"/>
    </xf>
    <xf numFmtId="164" fontId="35" fillId="0" borderId="1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09_Lift_calc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33</xdr:row>
      <xdr:rowOff>114300</xdr:rowOff>
    </xdr:from>
    <xdr:to>
      <xdr:col>6</xdr:col>
      <xdr:colOff>257175</xdr:colOff>
      <xdr:row>60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991225"/>
          <a:ext cx="44005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128"/>
  <sheetViews>
    <sheetView showGridLines="0" tabSelected="1" zoomScalePageLayoutView="0" workbookViewId="0" topLeftCell="A1">
      <selection activeCell="H3" sqref="H3"/>
    </sheetView>
  </sheetViews>
  <sheetFormatPr defaultColWidth="9.625" defaultRowHeight="12.75"/>
  <cols>
    <col min="1" max="1" width="2.625" style="33" customWidth="1"/>
    <col min="2" max="2" width="12.625" style="33" customWidth="1"/>
    <col min="3" max="3" width="11.625" style="33" customWidth="1"/>
    <col min="4" max="4" width="12.625" style="78" customWidth="1"/>
    <col min="5" max="5" width="11.625" style="33" customWidth="1"/>
    <col min="6" max="6" width="9.875" style="33" customWidth="1"/>
    <col min="7" max="16384" width="9.625" style="33" customWidth="1"/>
  </cols>
  <sheetData>
    <row r="2" spans="1:8" ht="22.5">
      <c r="A2" s="29"/>
      <c r="B2" s="30" t="s">
        <v>267</v>
      </c>
      <c r="C2" s="29"/>
      <c r="D2" s="31"/>
      <c r="E2" s="29"/>
      <c r="F2" s="29"/>
      <c r="G2" s="31" t="s">
        <v>284</v>
      </c>
      <c r="H2" s="32"/>
    </row>
    <row r="3" spans="1:8" ht="15.75">
      <c r="A3" s="29"/>
      <c r="B3" s="34" t="s">
        <v>88</v>
      </c>
      <c r="C3" s="29"/>
      <c r="D3" s="147"/>
      <c r="E3" s="148"/>
      <c r="F3" s="148"/>
      <c r="G3" s="29"/>
      <c r="H3" s="29"/>
    </row>
    <row r="4" spans="1:8" ht="15.75">
      <c r="A4" s="29"/>
      <c r="B4" s="34" t="s">
        <v>89</v>
      </c>
      <c r="C4" s="29"/>
      <c r="D4" s="149"/>
      <c r="E4" s="148"/>
      <c r="F4" s="148"/>
      <c r="G4" s="29"/>
      <c r="H4" s="29"/>
    </row>
    <row r="5" spans="1:8" ht="15.75">
      <c r="A5" s="29"/>
      <c r="B5" s="34"/>
      <c r="C5" s="29"/>
      <c r="D5" s="35"/>
      <c r="E5" s="29"/>
      <c r="F5" s="29"/>
      <c r="G5" s="29"/>
      <c r="H5" s="29"/>
    </row>
    <row r="6" spans="1:8" ht="15.75">
      <c r="A6" s="29"/>
      <c r="B6" s="34" t="s">
        <v>265</v>
      </c>
      <c r="C6" s="150"/>
      <c r="D6" s="150"/>
      <c r="E6" s="150"/>
      <c r="F6" s="150"/>
      <c r="G6" s="150"/>
      <c r="H6" s="29"/>
    </row>
    <row r="7" spans="1:8" ht="15.75">
      <c r="A7" s="29"/>
      <c r="B7" s="34"/>
      <c r="C7" s="29"/>
      <c r="D7" s="35"/>
      <c r="E7" s="29"/>
      <c r="F7" s="29"/>
      <c r="G7" s="29"/>
      <c r="H7" s="29"/>
    </row>
    <row r="8" spans="1:10" ht="15.75">
      <c r="A8" s="29"/>
      <c r="B8" s="34" t="s">
        <v>266</v>
      </c>
      <c r="C8" s="150"/>
      <c r="D8" s="150"/>
      <c r="E8" s="150"/>
      <c r="F8" s="150"/>
      <c r="G8" s="150"/>
      <c r="H8" s="29"/>
      <c r="J8" s="36"/>
    </row>
    <row r="9" spans="1:8" ht="12.75">
      <c r="A9" s="29"/>
      <c r="B9" s="37" t="s">
        <v>269</v>
      </c>
      <c r="C9" s="29"/>
      <c r="D9" s="31"/>
      <c r="E9" s="29"/>
      <c r="F9" s="29"/>
      <c r="G9" s="29"/>
      <c r="H9" s="29"/>
    </row>
    <row r="10" spans="1:8" ht="12.75">
      <c r="A10" s="29"/>
      <c r="B10" s="37" t="s">
        <v>0</v>
      </c>
      <c r="C10" s="29"/>
      <c r="D10" s="31"/>
      <c r="E10" s="29"/>
      <c r="F10" s="29"/>
      <c r="G10" s="29"/>
      <c r="H10" s="29"/>
    </row>
    <row r="11" spans="1:8" ht="12.75">
      <c r="A11" s="29"/>
      <c r="B11" s="29"/>
      <c r="C11" s="29"/>
      <c r="D11" s="31"/>
      <c r="E11" s="29"/>
      <c r="F11" s="29"/>
      <c r="G11" s="29"/>
      <c r="H11" s="29"/>
    </row>
    <row r="12" spans="1:8" ht="12.75">
      <c r="A12" s="29"/>
      <c r="B12" s="38" t="s">
        <v>1</v>
      </c>
      <c r="C12" s="29"/>
      <c r="D12" s="31"/>
      <c r="E12" s="29"/>
      <c r="F12" s="29"/>
      <c r="G12" s="29"/>
      <c r="H12" s="29"/>
    </row>
    <row r="13" spans="1:8" ht="12.75">
      <c r="A13" s="29"/>
      <c r="B13" s="38" t="s">
        <v>2</v>
      </c>
      <c r="C13" s="29"/>
      <c r="D13" s="31"/>
      <c r="E13" s="29"/>
      <c r="F13" s="29"/>
      <c r="G13" s="29"/>
      <c r="H13" s="29"/>
    </row>
    <row r="14" spans="1:8" ht="12.75">
      <c r="A14" s="29"/>
      <c r="B14" s="38"/>
      <c r="C14" s="29"/>
      <c r="D14" s="31"/>
      <c r="E14" s="29"/>
      <c r="F14" s="29"/>
      <c r="G14" s="29"/>
      <c r="H14" s="29"/>
    </row>
    <row r="15" spans="1:8" ht="12.75">
      <c r="A15" s="29"/>
      <c r="B15" s="39"/>
      <c r="C15" s="29"/>
      <c r="D15" s="31"/>
      <c r="E15" s="29"/>
      <c r="F15" s="29"/>
      <c r="G15" s="29"/>
      <c r="H15" s="29"/>
    </row>
    <row r="16" spans="1:8" ht="12.75">
      <c r="A16" s="29"/>
      <c r="B16" s="38"/>
      <c r="C16" s="29"/>
      <c r="D16" s="31"/>
      <c r="E16" s="29"/>
      <c r="F16" s="29"/>
      <c r="G16" s="29"/>
      <c r="H16" s="29"/>
    </row>
    <row r="17" spans="1:8" ht="12.75">
      <c r="A17" s="29"/>
      <c r="B17" s="38"/>
      <c r="C17" s="29"/>
      <c r="D17" s="31"/>
      <c r="E17" s="29"/>
      <c r="F17" s="29"/>
      <c r="G17" s="29"/>
      <c r="H17" s="29"/>
    </row>
    <row r="18" spans="1:8" ht="12.75">
      <c r="A18" s="29"/>
      <c r="B18" s="38"/>
      <c r="C18" s="29"/>
      <c r="D18" s="31"/>
      <c r="E18" s="29"/>
      <c r="F18" s="29"/>
      <c r="G18" s="29"/>
      <c r="H18" s="29"/>
    </row>
    <row r="19" spans="1:8" ht="12.75">
      <c r="A19" s="29"/>
      <c r="B19" s="38"/>
      <c r="C19" s="29"/>
      <c r="D19" s="31"/>
      <c r="E19" s="29"/>
      <c r="F19" s="29"/>
      <c r="G19" s="29"/>
      <c r="H19" s="29"/>
    </row>
    <row r="20" spans="1:8" ht="12.75">
      <c r="A20" s="29"/>
      <c r="B20" s="38"/>
      <c r="C20" s="29"/>
      <c r="D20" s="31"/>
      <c r="E20" s="29"/>
      <c r="F20" s="29"/>
      <c r="G20" s="29"/>
      <c r="H20" s="29"/>
    </row>
    <row r="21" spans="1:8" ht="12.75">
      <c r="A21" s="29"/>
      <c r="B21" s="38"/>
      <c r="C21" s="29"/>
      <c r="D21" s="31"/>
      <c r="E21" s="29"/>
      <c r="F21" s="29"/>
      <c r="G21" s="29"/>
      <c r="H21" s="29"/>
    </row>
    <row r="22" spans="1:8" ht="12.75">
      <c r="A22" s="29"/>
      <c r="B22" s="38"/>
      <c r="C22" s="29"/>
      <c r="D22" s="31"/>
      <c r="E22" s="29"/>
      <c r="F22" s="29"/>
      <c r="G22" s="29"/>
      <c r="H22" s="29"/>
    </row>
    <row r="23" spans="1:8" ht="12.75">
      <c r="A23" s="29"/>
      <c r="B23" s="38"/>
      <c r="C23" s="29"/>
      <c r="D23" s="31"/>
      <c r="E23" s="29"/>
      <c r="F23" s="29"/>
      <c r="G23" s="29"/>
      <c r="H23" s="29"/>
    </row>
    <row r="24" spans="1:8" ht="12.75">
      <c r="A24" s="29"/>
      <c r="B24" s="38"/>
      <c r="C24" s="29"/>
      <c r="D24" s="31"/>
      <c r="E24" s="29"/>
      <c r="F24" s="29"/>
      <c r="G24" s="29"/>
      <c r="H24" s="29"/>
    </row>
    <row r="25" spans="1:8" ht="12.75">
      <c r="A25" s="29"/>
      <c r="B25" s="38"/>
      <c r="C25" s="29"/>
      <c r="D25" s="31"/>
      <c r="E25" s="29"/>
      <c r="F25" s="29"/>
      <c r="G25" s="29"/>
      <c r="H25" s="29"/>
    </row>
    <row r="26" spans="1:8" ht="12.75">
      <c r="A26" s="29"/>
      <c r="B26" s="38"/>
      <c r="C26" s="29"/>
      <c r="D26" s="31"/>
      <c r="E26" s="29"/>
      <c r="F26" s="29"/>
      <c r="G26" s="29"/>
      <c r="H26" s="29"/>
    </row>
    <row r="27" spans="1:8" ht="12.75">
      <c r="A27" s="29"/>
      <c r="B27" s="38"/>
      <c r="C27" s="29"/>
      <c r="D27" s="31"/>
      <c r="E27" s="29"/>
      <c r="F27" s="29"/>
      <c r="G27" s="29"/>
      <c r="H27" s="29"/>
    </row>
    <row r="28" spans="1:8" ht="12.75">
      <c r="A28" s="29"/>
      <c r="B28" s="38"/>
      <c r="C28" s="29"/>
      <c r="D28" s="31"/>
      <c r="E28" s="29"/>
      <c r="F28" s="29"/>
      <c r="G28" s="29"/>
      <c r="H28" s="29"/>
    </row>
    <row r="29" spans="1:8" ht="12.75">
      <c r="A29" s="29"/>
      <c r="B29" s="38"/>
      <c r="C29" s="29"/>
      <c r="D29" s="31"/>
      <c r="E29" s="29"/>
      <c r="F29" s="29"/>
      <c r="G29" s="29"/>
      <c r="H29" s="29"/>
    </row>
    <row r="30" spans="1:8" ht="12.75">
      <c r="A30" s="29"/>
      <c r="B30" s="38"/>
      <c r="C30" s="29"/>
      <c r="D30" s="31"/>
      <c r="E30" s="29"/>
      <c r="F30" s="29"/>
      <c r="G30" s="29"/>
      <c r="H30" s="29"/>
    </row>
    <row r="31" spans="1:8" ht="12.75">
      <c r="A31" s="29"/>
      <c r="B31" s="38"/>
      <c r="C31" s="29"/>
      <c r="D31" s="31"/>
      <c r="E31" s="29"/>
      <c r="F31" s="29"/>
      <c r="G31" s="29"/>
      <c r="H31" s="29"/>
    </row>
    <row r="32" spans="1:8" ht="12.75">
      <c r="A32" s="29"/>
      <c r="B32" s="38"/>
      <c r="C32" s="29"/>
      <c r="D32" s="31"/>
      <c r="E32" s="29"/>
      <c r="F32" s="29"/>
      <c r="G32" s="29"/>
      <c r="H32" s="29"/>
    </row>
    <row r="33" spans="1:8" ht="12.75">
      <c r="A33" s="29"/>
      <c r="B33" s="38"/>
      <c r="C33" s="29"/>
      <c r="D33" s="31"/>
      <c r="E33" s="29"/>
      <c r="F33" s="29"/>
      <c r="G33" s="29"/>
      <c r="H33" s="29"/>
    </row>
    <row r="34" spans="1:8" ht="15.75">
      <c r="A34" s="29"/>
      <c r="B34" s="38"/>
      <c r="C34" s="29"/>
      <c r="D34" s="35" t="s">
        <v>3</v>
      </c>
      <c r="E34" s="29"/>
      <c r="F34" s="29"/>
      <c r="G34" s="29"/>
      <c r="H34" s="29"/>
    </row>
    <row r="35" spans="1:8" ht="12.75">
      <c r="A35" s="29"/>
      <c r="B35" s="38"/>
      <c r="C35" s="29"/>
      <c r="D35" s="31"/>
      <c r="E35" s="29"/>
      <c r="F35" s="29"/>
      <c r="G35" s="29"/>
      <c r="H35" s="29"/>
    </row>
    <row r="36" spans="1:8" ht="12.75">
      <c r="A36" s="29"/>
      <c r="B36" s="38"/>
      <c r="C36" s="29"/>
      <c r="D36" s="31"/>
      <c r="E36" s="29"/>
      <c r="F36" s="29"/>
      <c r="G36" s="29"/>
      <c r="H36" s="29"/>
    </row>
    <row r="37" spans="1:8" ht="12.75">
      <c r="A37" s="29"/>
      <c r="B37" s="40" t="s">
        <v>4</v>
      </c>
      <c r="C37" s="29"/>
      <c r="D37" s="31"/>
      <c r="E37" s="29"/>
      <c r="F37" s="29"/>
      <c r="G37" s="29"/>
      <c r="H37" s="29"/>
    </row>
    <row r="38" spans="1:8" ht="12.75">
      <c r="A38" s="29"/>
      <c r="B38" s="29" t="s">
        <v>5</v>
      </c>
      <c r="C38" s="29"/>
      <c r="D38" s="41">
        <v>2</v>
      </c>
      <c r="E38" s="29"/>
      <c r="F38" s="29"/>
      <c r="G38" s="29"/>
      <c r="H38" s="29"/>
    </row>
    <row r="39" spans="1:8" ht="12.75">
      <c r="A39" s="29"/>
      <c r="B39" s="29" t="s">
        <v>6</v>
      </c>
      <c r="C39" s="29"/>
      <c r="D39" s="41">
        <v>2</v>
      </c>
      <c r="E39" s="29"/>
      <c r="F39" s="29"/>
      <c r="G39" s="29"/>
      <c r="H39" s="29"/>
    </row>
    <row r="40" spans="1:8" ht="12.75">
      <c r="A40" s="29"/>
      <c r="B40" s="29" t="s">
        <v>7</v>
      </c>
      <c r="C40" s="29"/>
      <c r="D40" s="41">
        <v>2</v>
      </c>
      <c r="E40" s="29"/>
      <c r="F40" s="29"/>
      <c r="G40" s="29"/>
      <c r="H40" s="29"/>
    </row>
    <row r="41" spans="1:8" ht="12.75">
      <c r="A41" s="29"/>
      <c r="B41" s="29" t="s">
        <v>8</v>
      </c>
      <c r="C41" s="29"/>
      <c r="D41" s="41">
        <v>2</v>
      </c>
      <c r="E41" s="29"/>
      <c r="F41" s="29"/>
      <c r="G41" s="29"/>
      <c r="H41" s="29"/>
    </row>
    <row r="42" spans="1:8" ht="12.75">
      <c r="A42" s="29"/>
      <c r="B42" s="29" t="s">
        <v>9</v>
      </c>
      <c r="C42" s="29"/>
      <c r="D42" s="41">
        <v>4</v>
      </c>
      <c r="E42" s="29"/>
      <c r="F42" s="29"/>
      <c r="G42" s="29"/>
      <c r="H42" s="29"/>
    </row>
    <row r="43" spans="1:8" ht="12.75">
      <c r="A43" s="29"/>
      <c r="B43" s="29"/>
      <c r="C43" s="29"/>
      <c r="D43" s="41"/>
      <c r="E43" s="29"/>
      <c r="F43" s="29"/>
      <c r="G43" s="29"/>
      <c r="H43" s="29"/>
    </row>
    <row r="44" spans="1:8" ht="12.75">
      <c r="A44" s="29"/>
      <c r="B44" s="40" t="s">
        <v>10</v>
      </c>
      <c r="C44" s="29"/>
      <c r="D44" s="31"/>
      <c r="E44" s="29"/>
      <c r="F44" s="29"/>
      <c r="G44" s="29"/>
      <c r="H44" s="29"/>
    </row>
    <row r="45" spans="1:8" ht="14.25">
      <c r="A45" s="29"/>
      <c r="B45" s="29" t="s">
        <v>11</v>
      </c>
      <c r="C45" s="42">
        <f>+'Physical Characteristics'!C18-'Physical Characteristics'!C6</f>
        <v>12.600000000000001</v>
      </c>
      <c r="D45" s="43" t="s">
        <v>12</v>
      </c>
      <c r="E45" s="29" t="s">
        <v>13</v>
      </c>
      <c r="F45" s="42">
        <f>+'Physical Characteristics'!C15-'Physical Characteristics'!C5</f>
        <v>90.4</v>
      </c>
      <c r="G45" s="29" t="s">
        <v>12</v>
      </c>
      <c r="H45" s="29"/>
    </row>
    <row r="46" spans="1:8" ht="14.25">
      <c r="A46" s="29"/>
      <c r="B46" s="29" t="s">
        <v>14</v>
      </c>
      <c r="C46" s="42">
        <f>+'Physical Characteristics'!C17+'Physical Characteristics'!C6</f>
        <v>14</v>
      </c>
      <c r="D46" s="43" t="s">
        <v>12</v>
      </c>
      <c r="E46" s="29" t="s">
        <v>15</v>
      </c>
      <c r="F46" s="42">
        <f>+'Physical Characteristics'!C15-'Physical Characteristics'!C5</f>
        <v>90.4</v>
      </c>
      <c r="G46" s="29" t="s">
        <v>12</v>
      </c>
      <c r="H46" s="29"/>
    </row>
    <row r="47" spans="1:8" ht="14.25">
      <c r="A47" s="29"/>
      <c r="B47" s="29" t="s">
        <v>16</v>
      </c>
      <c r="C47" s="42">
        <f>+'Physical Characteristics'!C22-'Physical Characteristics'!C6</f>
        <v>21.3</v>
      </c>
      <c r="D47" s="43" t="s">
        <v>12</v>
      </c>
      <c r="E47" s="29" t="s">
        <v>17</v>
      </c>
      <c r="F47" s="42">
        <f>-(+'Physical Characteristics'!C19-'Physical Characteristics'!C5)</f>
        <v>95.1</v>
      </c>
      <c r="G47" s="29" t="s">
        <v>12</v>
      </c>
      <c r="H47" s="29"/>
    </row>
    <row r="48" spans="1:8" ht="14.25">
      <c r="A48" s="29"/>
      <c r="B48" s="29" t="s">
        <v>18</v>
      </c>
      <c r="C48" s="42">
        <f>+'Physical Characteristics'!C21+'Physical Characteristics'!C6</f>
        <v>22.7</v>
      </c>
      <c r="D48" s="43" t="s">
        <v>12</v>
      </c>
      <c r="E48" s="29" t="s">
        <v>19</v>
      </c>
      <c r="F48" s="42">
        <f>-(+'Physical Characteristics'!C19-'Physical Characteristics'!C5)</f>
        <v>95.1</v>
      </c>
      <c r="G48" s="29" t="s">
        <v>12</v>
      </c>
      <c r="H48" s="29"/>
    </row>
    <row r="49" spans="1:8" ht="12.75">
      <c r="A49" s="29"/>
      <c r="B49" s="29" t="s">
        <v>20</v>
      </c>
      <c r="C49" s="44">
        <f>+'Physical Characteristics'!C3</f>
        <v>11520</v>
      </c>
      <c r="D49" s="43" t="s">
        <v>21</v>
      </c>
      <c r="E49" s="29"/>
      <c r="F49" s="29"/>
      <c r="G49" s="29"/>
      <c r="H49" s="29"/>
    </row>
    <row r="50" spans="1:8" ht="12.75">
      <c r="A50" s="29"/>
      <c r="B50" s="29"/>
      <c r="C50" s="44"/>
      <c r="D50" s="43"/>
      <c r="E50" s="29"/>
      <c r="F50" s="29"/>
      <c r="G50" s="29"/>
      <c r="H50" s="29"/>
    </row>
    <row r="51" spans="1:8" ht="12.75">
      <c r="A51" s="29"/>
      <c r="B51" s="29"/>
      <c r="C51" s="44"/>
      <c r="D51" s="43"/>
      <c r="E51" s="29"/>
      <c r="F51" s="29"/>
      <c r="G51" s="29"/>
      <c r="H51" s="29"/>
    </row>
    <row r="52" spans="1:8" ht="12.75">
      <c r="A52" s="29"/>
      <c r="B52" s="29"/>
      <c r="C52" s="44"/>
      <c r="D52" s="43"/>
      <c r="E52" s="29"/>
      <c r="F52" s="29"/>
      <c r="G52" s="29"/>
      <c r="H52" s="29"/>
    </row>
    <row r="53" spans="1:8" ht="19.5">
      <c r="A53" s="29"/>
      <c r="B53" s="45" t="s">
        <v>280</v>
      </c>
      <c r="C53" s="44"/>
      <c r="D53" s="43"/>
      <c r="E53" s="29"/>
      <c r="F53" s="29"/>
      <c r="G53" s="29"/>
      <c r="H53" s="29"/>
    </row>
    <row r="54" spans="1:8" ht="19.5">
      <c r="A54" s="29"/>
      <c r="B54" s="146">
        <f>IF(AND(ISBLANK(D3),ISBLANK(D4)),"",IF(ISBLANK(D3),"",D3)&amp;"  "&amp;IF(ISBLANK(D4),"",D4))</f>
      </c>
      <c r="C54" s="146"/>
      <c r="D54" s="146"/>
      <c r="E54" s="146"/>
      <c r="F54" s="29"/>
      <c r="G54" s="29"/>
      <c r="H54" s="29"/>
    </row>
    <row r="55" spans="1:8" ht="13.5" thickBot="1">
      <c r="A55" s="29"/>
      <c r="B55" s="29"/>
      <c r="C55" s="44"/>
      <c r="D55" s="43"/>
      <c r="E55" s="29"/>
      <c r="F55" s="29"/>
      <c r="G55" s="29"/>
      <c r="H55" s="29"/>
    </row>
    <row r="56" spans="1:8" ht="12.75">
      <c r="A56" s="29"/>
      <c r="B56" s="46" t="s">
        <v>22</v>
      </c>
      <c r="C56" s="47" t="s">
        <v>23</v>
      </c>
      <c r="D56" s="48" t="s">
        <v>24</v>
      </c>
      <c r="E56" s="49" t="s">
        <v>25</v>
      </c>
      <c r="F56" s="29"/>
      <c r="G56" s="29"/>
      <c r="H56" s="29"/>
    </row>
    <row r="57" spans="1:8" ht="13.5" thickBot="1">
      <c r="A57" s="29"/>
      <c r="B57" s="50" t="s">
        <v>26</v>
      </c>
      <c r="C57" s="51" t="s">
        <v>27</v>
      </c>
      <c r="D57" s="52" t="s">
        <v>28</v>
      </c>
      <c r="E57" s="53" t="s">
        <v>29</v>
      </c>
      <c r="F57" s="29"/>
      <c r="G57" s="29"/>
      <c r="H57" s="29"/>
    </row>
    <row r="58" spans="1:8" ht="13.5" thickTop="1">
      <c r="A58" s="29"/>
      <c r="B58" s="54"/>
      <c r="C58" s="55"/>
      <c r="D58" s="56"/>
      <c r="E58" s="57"/>
      <c r="F58" s="29"/>
      <c r="G58" s="29"/>
      <c r="H58" s="29"/>
    </row>
    <row r="59" spans="1:8" ht="15.75">
      <c r="A59" s="29"/>
      <c r="B59" s="58" t="s">
        <v>30</v>
      </c>
      <c r="C59" s="59">
        <f>D82</f>
        <v>24252.631578947367</v>
      </c>
      <c r="D59" s="2">
        <f>F97</f>
        <v>6216.779685061711</v>
      </c>
      <c r="E59" s="60">
        <f>D119</f>
        <v>8858.911051212937</v>
      </c>
      <c r="F59" s="29"/>
      <c r="G59" s="29"/>
      <c r="H59" s="29"/>
    </row>
    <row r="60" spans="1:8" ht="15.75">
      <c r="A60" s="29"/>
      <c r="B60" s="61" t="s">
        <v>31</v>
      </c>
      <c r="C60" s="62"/>
      <c r="D60" s="63"/>
      <c r="E60" s="64"/>
      <c r="F60" s="29"/>
      <c r="G60" s="29"/>
      <c r="H60" s="29"/>
    </row>
    <row r="61" spans="1:8" ht="15.75">
      <c r="A61" s="29"/>
      <c r="B61" s="58" t="s">
        <v>32</v>
      </c>
      <c r="C61" s="59">
        <f>D83</f>
        <v>21827.368421052633</v>
      </c>
      <c r="D61" s="2">
        <f>F98</f>
        <v>5595.1017165555395</v>
      </c>
      <c r="E61" s="60">
        <f>D114</f>
        <v>8858.911051212937</v>
      </c>
      <c r="F61" s="29"/>
      <c r="G61" s="29"/>
      <c r="H61" s="29"/>
    </row>
    <row r="62" spans="1:8" ht="15.75">
      <c r="A62" s="29"/>
      <c r="B62" s="61" t="s">
        <v>33</v>
      </c>
      <c r="C62" s="62"/>
      <c r="D62" s="63"/>
      <c r="E62" s="64"/>
      <c r="F62" s="29"/>
      <c r="G62" s="29"/>
      <c r="H62" s="29"/>
    </row>
    <row r="63" spans="1:8" ht="15.75">
      <c r="A63" s="29"/>
      <c r="B63" s="58" t="s">
        <v>34</v>
      </c>
      <c r="C63" s="59">
        <f>D77</f>
        <v>23773.090909090908</v>
      </c>
      <c r="D63" s="2">
        <f>F99</f>
        <v>5792.688458711101</v>
      </c>
      <c r="E63" s="60">
        <f>D120</f>
        <v>8421.088948787063</v>
      </c>
      <c r="F63" s="29"/>
      <c r="G63" s="29"/>
      <c r="H63" s="29"/>
    </row>
    <row r="64" spans="1:8" ht="15.75">
      <c r="A64" s="29"/>
      <c r="B64" s="61" t="s">
        <v>35</v>
      </c>
      <c r="C64" s="62"/>
      <c r="D64" s="63"/>
      <c r="E64" s="64"/>
      <c r="F64" s="29"/>
      <c r="G64" s="29"/>
      <c r="H64" s="29"/>
    </row>
    <row r="65" spans="1:8" ht="15.75">
      <c r="A65" s="29"/>
      <c r="B65" s="58" t="s">
        <v>36</v>
      </c>
      <c r="C65" s="59">
        <f>D78</f>
        <v>22306.909090909092</v>
      </c>
      <c r="D65" s="2">
        <f>F100</f>
        <v>5435.43013967165</v>
      </c>
      <c r="E65" s="60">
        <f>D115</f>
        <v>8421.088948787063</v>
      </c>
      <c r="F65" s="29"/>
      <c r="G65" s="29"/>
      <c r="H65" s="29"/>
    </row>
    <row r="66" spans="1:8" ht="16.5" thickBot="1">
      <c r="A66" s="29"/>
      <c r="B66" s="65" t="s">
        <v>37</v>
      </c>
      <c r="C66" s="66"/>
      <c r="D66" s="67"/>
      <c r="E66" s="68"/>
      <c r="F66" s="29"/>
      <c r="G66" s="29"/>
      <c r="H66" s="29"/>
    </row>
    <row r="67" spans="1:8" ht="12.75">
      <c r="A67" s="29"/>
      <c r="B67" s="29"/>
      <c r="C67" s="44"/>
      <c r="D67" s="43"/>
      <c r="E67" s="29"/>
      <c r="F67" s="29"/>
      <c r="G67" s="29"/>
      <c r="H67" s="29"/>
    </row>
    <row r="68" spans="1:8" ht="12.75">
      <c r="A68" s="29"/>
      <c r="B68" s="69" t="s">
        <v>38</v>
      </c>
      <c r="C68" s="44"/>
      <c r="D68" s="43"/>
      <c r="E68" s="29"/>
      <c r="F68" s="29"/>
      <c r="G68" s="29"/>
      <c r="H68" s="29"/>
    </row>
    <row r="69" spans="1:8" ht="12.75">
      <c r="A69" s="29"/>
      <c r="B69" s="69" t="s">
        <v>281</v>
      </c>
      <c r="C69" s="44"/>
      <c r="D69" s="43"/>
      <c r="E69" s="29"/>
      <c r="F69" s="29"/>
      <c r="G69" s="29"/>
      <c r="H69" s="29"/>
    </row>
    <row r="70" spans="1:8" ht="12.75">
      <c r="A70" s="29"/>
      <c r="B70" s="29"/>
      <c r="C70" s="29"/>
      <c r="D70" s="31"/>
      <c r="E70" s="29"/>
      <c r="F70" s="29"/>
      <c r="G70" s="29"/>
      <c r="H70" s="29"/>
    </row>
    <row r="71" spans="1:8" ht="12.75">
      <c r="A71" s="70" t="s">
        <v>39</v>
      </c>
      <c r="B71" s="29"/>
      <c r="C71" s="29"/>
      <c r="D71" s="31"/>
      <c r="E71" s="29"/>
      <c r="F71" s="29"/>
      <c r="G71" s="29"/>
      <c r="H71" s="29"/>
    </row>
    <row r="72" spans="1:8" ht="12.75">
      <c r="A72" s="29" t="s">
        <v>40</v>
      </c>
      <c r="B72" s="29"/>
      <c r="C72" s="29"/>
      <c r="D72" s="31"/>
      <c r="E72" s="29"/>
      <c r="F72" s="29"/>
      <c r="G72" s="29"/>
      <c r="H72" s="29"/>
    </row>
    <row r="73" spans="1:8" ht="12.75">
      <c r="A73" s="29"/>
      <c r="B73" s="29" t="s">
        <v>41</v>
      </c>
      <c r="C73" s="71">
        <f>4*C49</f>
        <v>46080</v>
      </c>
      <c r="D73" s="43" t="s">
        <v>21</v>
      </c>
      <c r="E73" s="29"/>
      <c r="F73" s="29"/>
      <c r="G73" s="29"/>
      <c r="H73" s="29"/>
    </row>
    <row r="74" spans="1:8" ht="12.75">
      <c r="A74" s="29"/>
      <c r="B74" s="29"/>
      <c r="C74" s="29"/>
      <c r="D74" s="31"/>
      <c r="E74" s="29"/>
      <c r="F74" s="29"/>
      <c r="G74" s="29"/>
      <c r="H74" s="29"/>
    </row>
    <row r="75" spans="1:8" ht="12.75">
      <c r="A75" s="29" t="s">
        <v>42</v>
      </c>
      <c r="B75" s="29"/>
      <c r="C75" s="29"/>
      <c r="D75" s="31"/>
      <c r="E75" s="29"/>
      <c r="F75" s="29"/>
      <c r="G75" s="29"/>
      <c r="H75" s="29"/>
    </row>
    <row r="76" spans="1:8" ht="14.25">
      <c r="A76" s="29"/>
      <c r="B76" s="29" t="s">
        <v>43</v>
      </c>
      <c r="C76" s="71">
        <f>C73</f>
        <v>46080</v>
      </c>
      <c r="D76" s="43" t="s">
        <v>21</v>
      </c>
      <c r="E76" s="29"/>
      <c r="F76" s="29"/>
      <c r="G76" s="29"/>
      <c r="H76" s="29"/>
    </row>
    <row r="77" spans="1:8" ht="14.25">
      <c r="A77" s="29"/>
      <c r="B77" s="29" t="s">
        <v>44</v>
      </c>
      <c r="C77" s="29"/>
      <c r="D77" s="59">
        <f>C48*C76/(C47+C48)</f>
        <v>23773.090909090908</v>
      </c>
      <c r="E77" s="29" t="s">
        <v>21</v>
      </c>
      <c r="F77" s="29"/>
      <c r="G77" s="29"/>
      <c r="H77" s="29"/>
    </row>
    <row r="78" spans="1:8" ht="14.25">
      <c r="A78" s="29"/>
      <c r="B78" s="29" t="s">
        <v>45</v>
      </c>
      <c r="C78" s="29"/>
      <c r="D78" s="59">
        <f>C47*C76/(C47+C48)</f>
        <v>22306.909090909092</v>
      </c>
      <c r="E78" s="29" t="s">
        <v>21</v>
      </c>
      <c r="F78" s="29"/>
      <c r="G78" s="29"/>
      <c r="H78" s="29"/>
    </row>
    <row r="79" spans="1:8" ht="12.75">
      <c r="A79" s="29"/>
      <c r="B79" s="29"/>
      <c r="C79" s="29"/>
      <c r="D79" s="31"/>
      <c r="E79" s="29"/>
      <c r="F79" s="29"/>
      <c r="G79" s="29"/>
      <c r="H79" s="29"/>
    </row>
    <row r="80" spans="1:8" ht="12.75">
      <c r="A80" s="29" t="s">
        <v>46</v>
      </c>
      <c r="B80" s="29"/>
      <c r="C80" s="29"/>
      <c r="D80" s="31"/>
      <c r="E80" s="29"/>
      <c r="F80" s="29"/>
      <c r="G80" s="29"/>
      <c r="H80" s="29"/>
    </row>
    <row r="81" spans="1:8" ht="14.25">
      <c r="A81" s="29"/>
      <c r="B81" s="29" t="s">
        <v>47</v>
      </c>
      <c r="C81" s="71">
        <f>C73</f>
        <v>46080</v>
      </c>
      <c r="D81" s="43" t="s">
        <v>21</v>
      </c>
      <c r="E81" s="29"/>
      <c r="F81" s="29"/>
      <c r="G81" s="29"/>
      <c r="H81" s="29"/>
    </row>
    <row r="82" spans="1:8" ht="14.25">
      <c r="A82" s="29"/>
      <c r="B82" s="29" t="s">
        <v>48</v>
      </c>
      <c r="C82" s="29"/>
      <c r="D82" s="59">
        <f>C46*C81/(C45+C46)</f>
        <v>24252.631578947367</v>
      </c>
      <c r="E82" s="29" t="s">
        <v>21</v>
      </c>
      <c r="F82" s="29"/>
      <c r="G82" s="29"/>
      <c r="H82" s="29"/>
    </row>
    <row r="83" spans="1:8" ht="14.25">
      <c r="A83" s="29"/>
      <c r="B83" s="29" t="s">
        <v>49</v>
      </c>
      <c r="C83" s="29"/>
      <c r="D83" s="59">
        <f>C45*C81/(C45+C46)</f>
        <v>21827.368421052633</v>
      </c>
      <c r="E83" s="29" t="s">
        <v>21</v>
      </c>
      <c r="F83" s="29"/>
      <c r="G83" s="29"/>
      <c r="H83" s="29"/>
    </row>
    <row r="84" spans="1:8" ht="12.75">
      <c r="A84" s="29"/>
      <c r="B84" s="29"/>
      <c r="C84" s="29"/>
      <c r="D84" s="31"/>
      <c r="E84" s="29"/>
      <c r="F84" s="29"/>
      <c r="G84" s="29"/>
      <c r="H84" s="29"/>
    </row>
    <row r="85" spans="1:8" ht="12.75">
      <c r="A85" s="29" t="s">
        <v>50</v>
      </c>
      <c r="B85" s="29"/>
      <c r="C85" s="29"/>
      <c r="D85" s="31"/>
      <c r="E85" s="29"/>
      <c r="F85" s="29"/>
      <c r="G85" s="29"/>
      <c r="H85" s="29"/>
    </row>
    <row r="86" spans="1:8" ht="14.25">
      <c r="A86" s="29"/>
      <c r="B86" s="72" t="s">
        <v>51</v>
      </c>
      <c r="C86" s="29" t="s">
        <v>52</v>
      </c>
      <c r="D86" s="73">
        <f>1.5*D77</f>
        <v>35659.63636363636</v>
      </c>
      <c r="E86" s="29" t="s">
        <v>21</v>
      </c>
      <c r="F86" s="29"/>
      <c r="G86" s="29"/>
      <c r="H86" s="29"/>
    </row>
    <row r="87" spans="1:8" ht="14.25">
      <c r="A87" s="29"/>
      <c r="B87" s="29"/>
      <c r="C87" s="29" t="s">
        <v>53</v>
      </c>
      <c r="D87" s="73">
        <f>1.5*D78</f>
        <v>33460.36363636364</v>
      </c>
      <c r="E87" s="29" t="s">
        <v>21</v>
      </c>
      <c r="F87" s="29"/>
      <c r="G87" s="29"/>
      <c r="H87" s="29"/>
    </row>
    <row r="88" spans="1:8" ht="14.25">
      <c r="A88" s="29"/>
      <c r="B88" s="72" t="s">
        <v>54</v>
      </c>
      <c r="C88" s="29" t="s">
        <v>55</v>
      </c>
      <c r="D88" s="73">
        <f>1.5*D82</f>
        <v>36378.94736842105</v>
      </c>
      <c r="E88" s="29" t="s">
        <v>21</v>
      </c>
      <c r="F88" s="29"/>
      <c r="G88" s="29"/>
      <c r="H88" s="29"/>
    </row>
    <row r="89" spans="1:8" ht="14.25">
      <c r="A89" s="29"/>
      <c r="B89" s="29"/>
      <c r="C89" s="29" t="s">
        <v>56</v>
      </c>
      <c r="D89" s="73">
        <f>1.5*D83</f>
        <v>32741.05263157895</v>
      </c>
      <c r="E89" s="29" t="s">
        <v>21</v>
      </c>
      <c r="F89" s="29"/>
      <c r="G89" s="29"/>
      <c r="H89" s="29"/>
    </row>
    <row r="90" spans="1:8" ht="12.75">
      <c r="A90" s="29"/>
      <c r="B90" s="29"/>
      <c r="C90" s="29" t="s">
        <v>57</v>
      </c>
      <c r="D90" s="31"/>
      <c r="E90" s="29"/>
      <c r="F90" s="29"/>
      <c r="G90" s="29"/>
      <c r="H90" s="29"/>
    </row>
    <row r="91" spans="1:8" ht="12.75">
      <c r="A91" s="70" t="s">
        <v>58</v>
      </c>
      <c r="B91" s="29"/>
      <c r="C91" s="29"/>
      <c r="D91" s="31"/>
      <c r="E91" s="29"/>
      <c r="F91" s="29"/>
      <c r="G91" s="29"/>
      <c r="H91" s="29"/>
    </row>
    <row r="92" spans="1:8" ht="12.75">
      <c r="A92" s="29" t="s">
        <v>59</v>
      </c>
      <c r="B92" s="29"/>
      <c r="C92" s="29"/>
      <c r="D92" s="31"/>
      <c r="E92" s="29"/>
      <c r="F92" s="29"/>
      <c r="G92" s="29"/>
      <c r="H92" s="29"/>
    </row>
    <row r="93" spans="1:8" ht="12.75">
      <c r="A93" s="29"/>
      <c r="B93" s="29" t="s">
        <v>60</v>
      </c>
      <c r="C93" s="71">
        <f>2*C49</f>
        <v>23040</v>
      </c>
      <c r="D93" s="43" t="s">
        <v>21</v>
      </c>
      <c r="E93" s="29"/>
      <c r="F93" s="29"/>
      <c r="G93" s="29"/>
      <c r="H93" s="29"/>
    </row>
    <row r="94" spans="1:8" ht="12.75">
      <c r="A94" s="29"/>
      <c r="B94" s="29"/>
      <c r="C94" s="29"/>
      <c r="D94" s="31"/>
      <c r="E94" s="29"/>
      <c r="F94" s="29"/>
      <c r="G94" s="29"/>
      <c r="H94" s="29"/>
    </row>
    <row r="95" spans="1:8" ht="12.75">
      <c r="A95" s="29" t="s">
        <v>61</v>
      </c>
      <c r="B95" s="29"/>
      <c r="C95" s="29"/>
      <c r="D95" s="31"/>
      <c r="E95" s="29"/>
      <c r="F95" s="29"/>
      <c r="G95" s="29"/>
      <c r="H95" s="29"/>
    </row>
    <row r="96" spans="1:8" ht="14.25">
      <c r="A96" s="29"/>
      <c r="B96" s="29" t="s">
        <v>62</v>
      </c>
      <c r="C96" s="29"/>
      <c r="D96" s="73">
        <f>C93</f>
        <v>23040</v>
      </c>
      <c r="E96" s="29" t="s">
        <v>21</v>
      </c>
      <c r="F96" s="29"/>
      <c r="G96" s="29"/>
      <c r="H96" s="29"/>
    </row>
    <row r="97" spans="1:8" ht="14.25">
      <c r="A97" s="29"/>
      <c r="B97" s="29" t="s">
        <v>63</v>
      </c>
      <c r="C97" s="29"/>
      <c r="D97" s="31"/>
      <c r="E97" s="74"/>
      <c r="F97" s="75">
        <f>C46/(C45+C46)*F47/(F45+F47)*D96</f>
        <v>6216.779685061711</v>
      </c>
      <c r="G97" s="29" t="s">
        <v>21</v>
      </c>
      <c r="H97" s="29"/>
    </row>
    <row r="98" spans="1:8" ht="14.25">
      <c r="A98" s="29"/>
      <c r="B98" s="29" t="s">
        <v>64</v>
      </c>
      <c r="C98" s="29"/>
      <c r="D98" s="31"/>
      <c r="E98" s="74"/>
      <c r="F98" s="75">
        <f>C45/(C45+C46)*F48/(F46+F48)*D96</f>
        <v>5595.1017165555395</v>
      </c>
      <c r="G98" s="29" t="s">
        <v>21</v>
      </c>
      <c r="H98" s="29"/>
    </row>
    <row r="99" spans="1:8" ht="14.25">
      <c r="A99" s="29"/>
      <c r="B99" s="29" t="s">
        <v>65</v>
      </c>
      <c r="C99" s="29"/>
      <c r="D99" s="31"/>
      <c r="E99" s="74"/>
      <c r="F99" s="75">
        <f>C48/(C47+C48)*F45/(F45+F47)*D96</f>
        <v>5792.688458711101</v>
      </c>
      <c r="G99" s="29" t="s">
        <v>21</v>
      </c>
      <c r="H99" s="29"/>
    </row>
    <row r="100" spans="1:8" ht="14.25">
      <c r="A100" s="29"/>
      <c r="B100" s="29" t="s">
        <v>66</v>
      </c>
      <c r="C100" s="29"/>
      <c r="D100" s="31"/>
      <c r="E100" s="74"/>
      <c r="F100" s="75">
        <f>C47/(C47+C48)*F46/(F46+F48)*D96</f>
        <v>5435.43013967165</v>
      </c>
      <c r="G100" s="29" t="s">
        <v>21</v>
      </c>
      <c r="H100" s="29"/>
    </row>
    <row r="101" spans="1:8" ht="12.75">
      <c r="A101" s="29"/>
      <c r="B101" s="29"/>
      <c r="C101" s="29"/>
      <c r="D101" s="31"/>
      <c r="E101" s="29"/>
      <c r="F101" s="29"/>
      <c r="G101" s="29"/>
      <c r="H101" s="29"/>
    </row>
    <row r="102" spans="1:8" ht="12.75">
      <c r="A102" s="29" t="s">
        <v>50</v>
      </c>
      <c r="B102" s="29"/>
      <c r="C102" s="29"/>
      <c r="D102" s="31"/>
      <c r="E102" s="29"/>
      <c r="F102" s="29"/>
      <c r="G102" s="29"/>
      <c r="H102" s="29"/>
    </row>
    <row r="103" spans="1:8" ht="14.25">
      <c r="A103" s="29"/>
      <c r="B103" s="29" t="s">
        <v>67</v>
      </c>
      <c r="C103" s="71">
        <f>1.5*F97</f>
        <v>9325.169527592567</v>
      </c>
      <c r="D103" s="43" t="s">
        <v>21</v>
      </c>
      <c r="E103" s="29"/>
      <c r="F103" s="29"/>
      <c r="G103" s="29"/>
      <c r="H103" s="29"/>
    </row>
    <row r="104" spans="1:8" ht="14.25">
      <c r="A104" s="29"/>
      <c r="B104" s="29" t="s">
        <v>68</v>
      </c>
      <c r="C104" s="71">
        <f>1.5*F98</f>
        <v>8392.65257483331</v>
      </c>
      <c r="D104" s="43" t="s">
        <v>21</v>
      </c>
      <c r="E104" s="29"/>
      <c r="F104" s="29"/>
      <c r="G104" s="29"/>
      <c r="H104" s="29"/>
    </row>
    <row r="105" spans="1:8" ht="14.25">
      <c r="A105" s="29"/>
      <c r="B105" s="29" t="s">
        <v>69</v>
      </c>
      <c r="C105" s="71">
        <f>1.5*F99</f>
        <v>8689.03268806665</v>
      </c>
      <c r="D105" s="43" t="s">
        <v>21</v>
      </c>
      <c r="E105" s="29"/>
      <c r="F105" s="29"/>
      <c r="G105" s="29"/>
      <c r="H105" s="29"/>
    </row>
    <row r="106" spans="1:8" ht="14.25">
      <c r="A106" s="29"/>
      <c r="B106" s="29" t="s">
        <v>70</v>
      </c>
      <c r="C106" s="71">
        <f>1.5*F100</f>
        <v>8153.145209507475</v>
      </c>
      <c r="D106" s="43" t="s">
        <v>21</v>
      </c>
      <c r="E106" s="29"/>
      <c r="F106" s="29"/>
      <c r="G106" s="29"/>
      <c r="H106" s="29"/>
    </row>
    <row r="107" spans="1:8" ht="12.75">
      <c r="A107" s="29"/>
      <c r="B107" s="29"/>
      <c r="C107" s="29"/>
      <c r="D107" s="31"/>
      <c r="E107" s="29"/>
      <c r="F107" s="29"/>
      <c r="G107" s="29"/>
      <c r="H107" s="29"/>
    </row>
    <row r="108" spans="1:8" ht="12.75">
      <c r="A108" s="40" t="s">
        <v>71</v>
      </c>
      <c r="B108" s="29"/>
      <c r="C108" s="29"/>
      <c r="D108" s="31"/>
      <c r="E108" s="29"/>
      <c r="F108" s="29"/>
      <c r="G108" s="29"/>
      <c r="H108" s="29"/>
    </row>
    <row r="109" spans="1:8" ht="12.75">
      <c r="A109" s="29" t="s">
        <v>72</v>
      </c>
      <c r="B109" s="29"/>
      <c r="C109" s="29"/>
      <c r="D109" s="31"/>
      <c r="E109" s="29"/>
      <c r="F109" s="29"/>
      <c r="G109" s="29"/>
      <c r="H109" s="29"/>
    </row>
    <row r="110" spans="1:8" ht="12.75">
      <c r="A110" s="29"/>
      <c r="B110" s="29" t="s">
        <v>73</v>
      </c>
      <c r="C110" s="71">
        <f>1.5*C49</f>
        <v>17280</v>
      </c>
      <c r="D110" s="43" t="s">
        <v>21</v>
      </c>
      <c r="E110" s="29"/>
      <c r="F110" s="29"/>
      <c r="G110" s="29"/>
      <c r="H110" s="29"/>
    </row>
    <row r="111" spans="1:8" ht="12.75">
      <c r="A111" s="29"/>
      <c r="B111" s="29"/>
      <c r="C111" s="29"/>
      <c r="D111" s="31"/>
      <c r="E111" s="29"/>
      <c r="F111" s="29"/>
      <c r="G111" s="29"/>
      <c r="H111" s="29"/>
    </row>
    <row r="112" spans="1:8" ht="12.75">
      <c r="A112" s="29" t="s">
        <v>74</v>
      </c>
      <c r="B112" s="29"/>
      <c r="C112" s="29"/>
      <c r="D112" s="31"/>
      <c r="E112" s="29"/>
      <c r="F112" s="29"/>
      <c r="G112" s="29"/>
      <c r="H112" s="29"/>
    </row>
    <row r="113" spans="1:8" ht="14.25">
      <c r="A113" s="29"/>
      <c r="B113" s="29" t="s">
        <v>75</v>
      </c>
      <c r="C113" s="71">
        <f>C110</f>
        <v>17280</v>
      </c>
      <c r="D113" s="43" t="s">
        <v>21</v>
      </c>
      <c r="E113" s="29"/>
      <c r="F113" s="29"/>
      <c r="G113" s="29"/>
      <c r="H113" s="29"/>
    </row>
    <row r="114" spans="1:8" ht="14.25">
      <c r="A114" s="29"/>
      <c r="B114" s="29" t="s">
        <v>76</v>
      </c>
      <c r="C114" s="29"/>
      <c r="D114" s="59">
        <f>F48*C113/(F46+F48)</f>
        <v>8858.911051212937</v>
      </c>
      <c r="E114" s="29" t="s">
        <v>21</v>
      </c>
      <c r="F114" s="29"/>
      <c r="G114" s="29"/>
      <c r="H114" s="29"/>
    </row>
    <row r="115" spans="1:8" ht="14.25">
      <c r="A115" s="29"/>
      <c r="B115" s="29" t="s">
        <v>77</v>
      </c>
      <c r="C115" s="29"/>
      <c r="D115" s="59">
        <f>F46*C113/(F46+F48)</f>
        <v>8421.088948787063</v>
      </c>
      <c r="E115" s="29" t="s">
        <v>21</v>
      </c>
      <c r="F115" s="29"/>
      <c r="G115" s="29"/>
      <c r="H115" s="29"/>
    </row>
    <row r="116" spans="1:8" ht="12.75">
      <c r="A116" s="29"/>
      <c r="B116" s="29"/>
      <c r="C116" s="29"/>
      <c r="D116" s="31"/>
      <c r="E116" s="29"/>
      <c r="F116" s="29"/>
      <c r="G116" s="29"/>
      <c r="H116" s="29"/>
    </row>
    <row r="117" spans="1:8" ht="12.75">
      <c r="A117" s="29" t="s">
        <v>78</v>
      </c>
      <c r="B117" s="29"/>
      <c r="C117" s="29"/>
      <c r="D117" s="31"/>
      <c r="E117" s="29"/>
      <c r="F117" s="29"/>
      <c r="G117" s="29"/>
      <c r="H117" s="29"/>
    </row>
    <row r="118" spans="1:8" ht="14.25">
      <c r="A118" s="29"/>
      <c r="B118" s="29" t="s">
        <v>79</v>
      </c>
      <c r="C118" s="71">
        <f>C110</f>
        <v>17280</v>
      </c>
      <c r="D118" s="31" t="s">
        <v>21</v>
      </c>
      <c r="E118" s="29"/>
      <c r="F118" s="29"/>
      <c r="G118" s="29"/>
      <c r="H118" s="29"/>
    </row>
    <row r="119" spans="1:8" ht="14.25">
      <c r="A119" s="29"/>
      <c r="B119" s="29" t="s">
        <v>80</v>
      </c>
      <c r="C119" s="29"/>
      <c r="D119" s="59">
        <f>F47*C118/(F45+F47)</f>
        <v>8858.911051212937</v>
      </c>
      <c r="E119" s="29" t="s">
        <v>21</v>
      </c>
      <c r="F119" s="29"/>
      <c r="G119" s="29"/>
      <c r="H119" s="29"/>
    </row>
    <row r="120" spans="1:8" ht="14.25">
      <c r="A120" s="29"/>
      <c r="B120" s="29" t="s">
        <v>81</v>
      </c>
      <c r="C120" s="29"/>
      <c r="D120" s="59">
        <f>F45*C118/(F45+F47)</f>
        <v>8421.088948787063</v>
      </c>
      <c r="E120" s="29" t="s">
        <v>21</v>
      </c>
      <c r="F120" s="29"/>
      <c r="G120" s="29"/>
      <c r="H120" s="29"/>
    </row>
    <row r="121" spans="1:8" ht="12.75">
      <c r="A121" s="29"/>
      <c r="B121" s="29"/>
      <c r="C121" s="29"/>
      <c r="D121" s="31"/>
      <c r="E121" s="29"/>
      <c r="F121" s="29"/>
      <c r="G121" s="29"/>
      <c r="H121" s="29"/>
    </row>
    <row r="122" spans="1:8" ht="12.75">
      <c r="A122" s="29" t="s">
        <v>50</v>
      </c>
      <c r="B122" s="29"/>
      <c r="C122" s="29"/>
      <c r="D122" s="31"/>
      <c r="E122" s="29"/>
      <c r="F122" s="29"/>
      <c r="G122" s="29"/>
      <c r="H122" s="29"/>
    </row>
    <row r="123" spans="1:8" ht="14.25">
      <c r="A123" s="29"/>
      <c r="B123" s="72" t="s">
        <v>82</v>
      </c>
      <c r="C123" s="29" t="s">
        <v>83</v>
      </c>
      <c r="D123" s="73">
        <f>D114*1.5</f>
        <v>13288.366576819406</v>
      </c>
      <c r="E123" s="29" t="s">
        <v>21</v>
      </c>
      <c r="F123" s="29"/>
      <c r="G123" s="29"/>
      <c r="H123" s="29"/>
    </row>
    <row r="124" spans="1:8" ht="14.25">
      <c r="A124" s="29"/>
      <c r="B124" s="29"/>
      <c r="C124" s="29" t="s">
        <v>84</v>
      </c>
      <c r="D124" s="73">
        <f>D115*1.5</f>
        <v>12631.633423180594</v>
      </c>
      <c r="E124" s="29" t="s">
        <v>21</v>
      </c>
      <c r="F124" s="29"/>
      <c r="G124" s="29"/>
      <c r="H124" s="29"/>
    </row>
    <row r="125" spans="1:8" ht="14.25">
      <c r="A125" s="29"/>
      <c r="B125" s="72" t="s">
        <v>85</v>
      </c>
      <c r="C125" s="29" t="s">
        <v>86</v>
      </c>
      <c r="D125" s="73">
        <f>D119*1.5</f>
        <v>13288.366576819406</v>
      </c>
      <c r="E125" s="29" t="s">
        <v>21</v>
      </c>
      <c r="F125" s="29"/>
      <c r="G125" s="29"/>
      <c r="H125" s="29"/>
    </row>
    <row r="126" spans="1:8" ht="14.25">
      <c r="A126" s="29"/>
      <c r="B126" s="29"/>
      <c r="C126" s="29" t="s">
        <v>87</v>
      </c>
      <c r="D126" s="73">
        <f>D120*1.5</f>
        <v>12631.633423180594</v>
      </c>
      <c r="E126" s="29" t="s">
        <v>21</v>
      </c>
      <c r="F126" s="29"/>
      <c r="G126" s="29"/>
      <c r="H126" s="29"/>
    </row>
    <row r="128" spans="2:6" ht="12.75">
      <c r="B128" s="76"/>
      <c r="C128" s="76"/>
      <c r="D128" s="77"/>
      <c r="E128" s="76"/>
      <c r="F128" s="76"/>
    </row>
  </sheetData>
  <sheetProtection sheet="1" objects="1" scenarios="1"/>
  <mergeCells count="5">
    <mergeCell ref="B54:E54"/>
    <mergeCell ref="D3:F3"/>
    <mergeCell ref="D4:F4"/>
    <mergeCell ref="C6:G6"/>
    <mergeCell ref="C8:G8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13968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192"/>
  <sheetViews>
    <sheetView showGridLines="0" zoomScalePageLayoutView="0" workbookViewId="0" topLeftCell="A1">
      <selection activeCell="H3" sqref="H3"/>
    </sheetView>
  </sheetViews>
  <sheetFormatPr defaultColWidth="9.625" defaultRowHeight="12.75"/>
  <cols>
    <col min="1" max="1" width="2.625" style="33" customWidth="1"/>
    <col min="2" max="2" width="12.625" style="33" customWidth="1"/>
    <col min="3" max="3" width="11.625" style="33" customWidth="1"/>
    <col min="4" max="4" width="12.625" style="78" customWidth="1"/>
    <col min="5" max="5" width="11.625" style="33" customWidth="1"/>
    <col min="6" max="6" width="9.875" style="33" customWidth="1"/>
    <col min="7" max="16384" width="9.625" style="33" customWidth="1"/>
  </cols>
  <sheetData>
    <row r="2" spans="1:8" ht="22.5">
      <c r="A2" s="29"/>
      <c r="B2" s="30" t="s">
        <v>268</v>
      </c>
      <c r="C2" s="29"/>
      <c r="D2" s="31"/>
      <c r="E2" s="70"/>
      <c r="F2" s="29"/>
      <c r="G2" s="31" t="s">
        <v>284</v>
      </c>
      <c r="H2" s="79">
        <f>IF(ISBLANK('209K Tiedown Calc'!H2),"",'209K Tiedown Calc'!H2)</f>
      </c>
    </row>
    <row r="3" spans="1:8" ht="15.75">
      <c r="A3" s="29"/>
      <c r="B3" s="34" t="s">
        <v>88</v>
      </c>
      <c r="C3" s="29"/>
      <c r="D3" s="152">
        <f>IF(ISBLANK('209K Tiedown Calc'!D3:F3),"",'209K Tiedown Calc'!D3:F3)</f>
      </c>
      <c r="E3" s="153"/>
      <c r="F3" s="153"/>
      <c r="G3" s="29"/>
      <c r="H3" s="29"/>
    </row>
    <row r="4" spans="1:8" ht="15.75">
      <c r="A4" s="29"/>
      <c r="B4" s="34" t="s">
        <v>89</v>
      </c>
      <c r="C4" s="29"/>
      <c r="D4" s="152">
        <f>IF(ISBLANK('209K Tiedown Calc'!D4:F4),"",'209K Tiedown Calc'!D4:F4)</f>
      </c>
      <c r="E4" s="153"/>
      <c r="F4" s="153"/>
      <c r="G4" s="29"/>
      <c r="H4" s="29"/>
    </row>
    <row r="5" spans="1:8" ht="15.75">
      <c r="A5" s="29"/>
      <c r="B5" s="34"/>
      <c r="C5" s="29"/>
      <c r="D5" s="35"/>
      <c r="E5" s="29"/>
      <c r="F5" s="29"/>
      <c r="G5" s="29"/>
      <c r="H5" s="29"/>
    </row>
    <row r="6" spans="1:8" ht="15.75">
      <c r="A6" s="29"/>
      <c r="B6" s="34" t="s">
        <v>265</v>
      </c>
      <c r="C6" s="154">
        <f>IF(ISBLANK('209K Tiedown Calc'!C6:G6),"",'209K Tiedown Calc'!C6:G6)</f>
      </c>
      <c r="D6" s="154"/>
      <c r="E6" s="154"/>
      <c r="F6" s="154"/>
      <c r="G6" s="154"/>
      <c r="H6" s="29"/>
    </row>
    <row r="7" spans="1:8" ht="15.75">
      <c r="A7" s="29"/>
      <c r="B7" s="34"/>
      <c r="C7" s="29"/>
      <c r="D7" s="35"/>
      <c r="E7" s="29"/>
      <c r="F7" s="29"/>
      <c r="G7" s="29"/>
      <c r="H7" s="29"/>
    </row>
    <row r="8" spans="1:8" ht="15.75">
      <c r="A8" s="29"/>
      <c r="B8" s="34" t="s">
        <v>266</v>
      </c>
      <c r="C8" s="154">
        <f>IF(ISBLANK('209K Tiedown Calc'!C8:G8),"",'209K Tiedown Calc'!C8:G8)</f>
      </c>
      <c r="D8" s="154"/>
      <c r="E8" s="154"/>
      <c r="F8" s="154"/>
      <c r="G8" s="154"/>
      <c r="H8" s="29"/>
    </row>
    <row r="9" spans="1:8" ht="12.75">
      <c r="A9" s="29"/>
      <c r="B9" s="38" t="s">
        <v>91</v>
      </c>
      <c r="C9" s="29"/>
      <c r="D9" s="31"/>
      <c r="E9" s="29"/>
      <c r="F9" s="29"/>
      <c r="G9" s="29"/>
      <c r="H9" s="29"/>
    </row>
    <row r="10" spans="1:8" ht="12.75">
      <c r="A10" s="29"/>
      <c r="B10" s="38" t="s">
        <v>270</v>
      </c>
      <c r="C10" s="29"/>
      <c r="D10" s="31"/>
      <c r="E10" s="29"/>
      <c r="F10" s="29"/>
      <c r="G10" s="29"/>
      <c r="H10" s="29"/>
    </row>
    <row r="11" spans="1:8" ht="12.75">
      <c r="A11" s="29"/>
      <c r="B11" s="38" t="s">
        <v>183</v>
      </c>
      <c r="C11" s="29"/>
      <c r="D11" s="31"/>
      <c r="E11" s="29"/>
      <c r="F11" s="29"/>
      <c r="G11" s="29"/>
      <c r="H11" s="29"/>
    </row>
    <row r="12" spans="1:8" ht="12.75">
      <c r="A12" s="29"/>
      <c r="B12" s="38" t="s">
        <v>184</v>
      </c>
      <c r="C12" s="29"/>
      <c r="D12" s="31"/>
      <c r="E12" s="29"/>
      <c r="F12" s="29"/>
      <c r="G12" s="29"/>
      <c r="H12" s="29"/>
    </row>
    <row r="13" spans="1:8" ht="12.75">
      <c r="A13" s="29"/>
      <c r="B13" s="38"/>
      <c r="C13" s="29"/>
      <c r="D13" s="31"/>
      <c r="E13" s="29"/>
      <c r="F13" s="29"/>
      <c r="G13" s="29"/>
      <c r="H13" s="29"/>
    </row>
    <row r="14" spans="1:8" ht="12.75">
      <c r="A14" s="29"/>
      <c r="B14" s="80" t="s">
        <v>92</v>
      </c>
      <c r="C14" s="81"/>
      <c r="D14" s="43"/>
      <c r="E14" s="29"/>
      <c r="F14" s="29"/>
      <c r="G14" s="29"/>
      <c r="H14" s="29"/>
    </row>
    <row r="15" spans="1:8" ht="12.75">
      <c r="A15" s="29"/>
      <c r="B15" s="82" t="s">
        <v>93</v>
      </c>
      <c r="C15" s="83"/>
      <c r="D15" s="83"/>
      <c r="E15" s="83"/>
      <c r="F15" s="83"/>
      <c r="G15" s="83"/>
      <c r="H15" s="29"/>
    </row>
    <row r="16" spans="1:8" ht="12.75">
      <c r="A16" s="29"/>
      <c r="B16" s="82" t="s">
        <v>94</v>
      </c>
      <c r="C16" s="83"/>
      <c r="D16" s="83"/>
      <c r="E16" s="83"/>
      <c r="F16" s="83"/>
      <c r="G16" s="83"/>
      <c r="H16" s="29"/>
    </row>
    <row r="17" spans="1:8" ht="12.75">
      <c r="A17" s="29"/>
      <c r="B17" s="82" t="s">
        <v>95</v>
      </c>
      <c r="C17" s="83"/>
      <c r="D17" s="83"/>
      <c r="E17" s="83"/>
      <c r="F17" s="83"/>
      <c r="G17" s="83"/>
      <c r="H17" s="29"/>
    </row>
    <row r="18" spans="1:8" ht="12.75">
      <c r="A18" s="29"/>
      <c r="B18" s="82" t="s">
        <v>96</v>
      </c>
      <c r="C18" s="83"/>
      <c r="D18" s="83"/>
      <c r="E18" s="83"/>
      <c r="F18" s="83"/>
      <c r="G18" s="83"/>
      <c r="H18" s="29"/>
    </row>
    <row r="19" spans="1:8" ht="12.75">
      <c r="A19" s="29"/>
      <c r="B19" s="82" t="s">
        <v>97</v>
      </c>
      <c r="C19" s="83"/>
      <c r="D19" s="83"/>
      <c r="E19" s="83"/>
      <c r="F19" s="83"/>
      <c r="G19" s="83"/>
      <c r="H19" s="29"/>
    </row>
    <row r="20" spans="1:8" ht="12.75">
      <c r="A20" s="29"/>
      <c r="B20" s="82"/>
      <c r="C20" s="83"/>
      <c r="D20" s="83"/>
      <c r="E20" s="83"/>
      <c r="F20" s="83"/>
      <c r="G20" s="83"/>
      <c r="H20" s="29"/>
    </row>
    <row r="21" spans="1:8" ht="12.75">
      <c r="A21" s="29"/>
      <c r="B21" s="84" t="s">
        <v>98</v>
      </c>
      <c r="C21" s="85"/>
      <c r="D21" s="83" t="s">
        <v>21</v>
      </c>
      <c r="E21" s="83"/>
      <c r="F21" s="83"/>
      <c r="G21" s="83"/>
      <c r="H21" s="29"/>
    </row>
    <row r="22" spans="1:8" ht="12.75">
      <c r="A22" s="29"/>
      <c r="B22" s="86" t="s">
        <v>99</v>
      </c>
      <c r="C22" s="87">
        <v>0</v>
      </c>
      <c r="D22" s="83" t="s">
        <v>100</v>
      </c>
      <c r="E22" s="83"/>
      <c r="F22" s="83"/>
      <c r="G22" s="83"/>
      <c r="H22" s="29"/>
    </row>
    <row r="23" spans="1:8" ht="12.75">
      <c r="A23" s="29"/>
      <c r="B23" s="86" t="s">
        <v>101</v>
      </c>
      <c r="C23" s="88" t="e">
        <f>C21/C22</f>
        <v>#DIV/0!</v>
      </c>
      <c r="D23" s="83" t="s">
        <v>102</v>
      </c>
      <c r="E23" s="83"/>
      <c r="F23" s="83"/>
      <c r="G23" s="83"/>
      <c r="H23" s="29"/>
    </row>
    <row r="24" spans="1:8" ht="12.75">
      <c r="A24" s="29"/>
      <c r="B24" s="86"/>
      <c r="C24" s="88"/>
      <c r="D24" s="83"/>
      <c r="E24" s="83"/>
      <c r="F24" s="83"/>
      <c r="G24" s="83"/>
      <c r="H24" s="29"/>
    </row>
    <row r="25" spans="1:8" ht="27">
      <c r="A25" s="29"/>
      <c r="B25" s="86"/>
      <c r="C25" s="88"/>
      <c r="D25" s="89" t="s">
        <v>103</v>
      </c>
      <c r="E25" s="90" t="s">
        <v>104</v>
      </c>
      <c r="F25" s="89" t="s">
        <v>105</v>
      </c>
      <c r="G25" s="83"/>
      <c r="H25" s="29"/>
    </row>
    <row r="26" spans="1:8" ht="12.75">
      <c r="A26" s="29"/>
      <c r="B26" s="40" t="s">
        <v>106</v>
      </c>
      <c r="C26" s="40"/>
      <c r="D26" s="91" t="e">
        <f>IF(AND(C23&lt;=45,C21&lt;5000),5.9,IF(AND(C23&lt;=45,C21&gt;=5000,C21&lt;=15000),5.6,IF(AND(C23&lt;=45,C21&gt;15000,C21&lt;=36000),3.2-(0.000038*(C21-15000))+2.4,IF(AND(C23&gt;45,C23&lt;60,C21&lt;5000),3.5+(0.16*(60-C23)),IF(AND(C23&gt;45,C23&lt;60,C21&gt;=5000,C21&lt;=15000),3.2+(0.16*(60-C23)),IF(AND(C23&gt;45,C23&lt;60,C21&gt;15000,C21&lt;=36000),3.2-(0.000038*(C21-15000))+(0.16*(60-C23)),IF(AND(C23&gt;=60,C21&lt;5000),3.5,E26)))))))</f>
        <v>#DIV/0!</v>
      </c>
      <c r="E26" s="92" t="e">
        <f>IF(AND(C23&gt;=60,C21&gt;=5000,C21&lt;=15000),3.2,IF(AND(C23&gt;=60,C21&gt;15000,C21&lt;=36000),3.2-(0.000038*(C21-15000)),"INVALID VALUES ENTERED FOR EATWT AND/OR MPFA"))</f>
        <v>#DIV/0!</v>
      </c>
      <c r="F26" s="91">
        <v>2.3</v>
      </c>
      <c r="G26" s="29"/>
      <c r="H26" s="29"/>
    </row>
    <row r="27" spans="1:8" ht="12.75">
      <c r="A27" s="29"/>
      <c r="B27" s="40"/>
      <c r="C27" s="40"/>
      <c r="D27" s="93"/>
      <c r="E27" s="92"/>
      <c r="F27" s="91"/>
      <c r="G27" s="29"/>
      <c r="H27" s="29"/>
    </row>
    <row r="28" spans="1:8" ht="12.75">
      <c r="A28" s="29"/>
      <c r="B28" s="94" t="s">
        <v>107</v>
      </c>
      <c r="C28" s="40"/>
      <c r="D28" s="93"/>
      <c r="E28" s="95"/>
      <c r="F28" s="91"/>
      <c r="G28" s="29"/>
      <c r="H28" s="29"/>
    </row>
    <row r="29" spans="1:8" ht="12.75">
      <c r="A29" s="29"/>
      <c r="B29" s="94" t="s">
        <v>271</v>
      </c>
      <c r="C29" s="40"/>
      <c r="D29" s="93"/>
      <c r="E29" s="96">
        <f>C63*E28</f>
        <v>0</v>
      </c>
      <c r="F29" s="91"/>
      <c r="G29" s="29"/>
      <c r="H29" s="29"/>
    </row>
    <row r="30" spans="1:8" ht="12.75">
      <c r="A30" s="29"/>
      <c r="B30" s="38"/>
      <c r="C30" s="29"/>
      <c r="D30" s="31"/>
      <c r="E30" s="29"/>
      <c r="F30" s="29"/>
      <c r="G30" s="29"/>
      <c r="H30" s="29"/>
    </row>
    <row r="31" spans="1:8" ht="12.75">
      <c r="A31" s="29"/>
      <c r="B31" s="97" t="s">
        <v>108</v>
      </c>
      <c r="C31" s="29"/>
      <c r="D31" s="31"/>
      <c r="E31" s="29"/>
      <c r="F31" s="29"/>
      <c r="G31" s="29"/>
      <c r="H31" s="29"/>
    </row>
    <row r="32" spans="1:8" ht="12.75">
      <c r="A32" s="29"/>
      <c r="B32" s="38" t="s">
        <v>109</v>
      </c>
      <c r="C32" s="98"/>
      <c r="D32" s="31"/>
      <c r="E32" s="29"/>
      <c r="F32" s="29"/>
      <c r="G32" s="29"/>
      <c r="H32" s="29"/>
    </row>
    <row r="33" spans="1:8" ht="12.75">
      <c r="A33" s="29"/>
      <c r="B33" s="38" t="s">
        <v>110</v>
      </c>
      <c r="C33" s="29"/>
      <c r="D33" s="31"/>
      <c r="E33" s="29"/>
      <c r="F33" s="29"/>
      <c r="G33" s="29"/>
      <c r="H33" s="29"/>
    </row>
    <row r="34" spans="1:8" ht="12.75">
      <c r="A34" s="29"/>
      <c r="B34" s="38"/>
      <c r="C34" s="29"/>
      <c r="D34" s="31"/>
      <c r="E34" s="29"/>
      <c r="F34" s="29"/>
      <c r="G34" s="29"/>
      <c r="H34" s="29"/>
    </row>
    <row r="35" spans="1:8" ht="12.75">
      <c r="A35" s="29"/>
      <c r="B35" s="38"/>
      <c r="C35" s="29"/>
      <c r="D35" s="31"/>
      <c r="E35" s="29"/>
      <c r="F35" s="29"/>
      <c r="G35" s="29"/>
      <c r="H35" s="29"/>
    </row>
    <row r="36" spans="1:8" ht="12.75">
      <c r="A36" s="29"/>
      <c r="B36" s="38"/>
      <c r="C36" s="29"/>
      <c r="D36" s="31"/>
      <c r="E36" s="29"/>
      <c r="F36" s="29"/>
      <c r="G36" s="29"/>
      <c r="H36" s="29"/>
    </row>
    <row r="37" spans="1:8" ht="12.75">
      <c r="A37" s="29"/>
      <c r="B37" s="38"/>
      <c r="C37" s="29"/>
      <c r="D37" s="31"/>
      <c r="E37" s="29"/>
      <c r="F37" s="29"/>
      <c r="G37" s="29"/>
      <c r="H37" s="29"/>
    </row>
    <row r="38" spans="1:8" ht="12.75">
      <c r="A38" s="29"/>
      <c r="B38" s="38"/>
      <c r="C38" s="29"/>
      <c r="D38" s="31"/>
      <c r="E38" s="29"/>
      <c r="F38" s="29"/>
      <c r="G38" s="29"/>
      <c r="H38" s="29"/>
    </row>
    <row r="39" spans="1:8" ht="12.75">
      <c r="A39" s="29"/>
      <c r="B39" s="38"/>
      <c r="C39" s="29"/>
      <c r="D39" s="31"/>
      <c r="E39" s="29"/>
      <c r="F39" s="29"/>
      <c r="G39" s="29"/>
      <c r="H39" s="29"/>
    </row>
    <row r="40" spans="1:8" ht="12.75">
      <c r="A40" s="29"/>
      <c r="B40" s="38"/>
      <c r="C40" s="29"/>
      <c r="D40" s="31"/>
      <c r="E40" s="29"/>
      <c r="F40" s="29"/>
      <c r="G40" s="29"/>
      <c r="H40" s="29"/>
    </row>
    <row r="41" spans="1:8" ht="12.75">
      <c r="A41" s="29"/>
      <c r="B41" s="38"/>
      <c r="C41" s="29"/>
      <c r="D41" s="31"/>
      <c r="E41" s="29"/>
      <c r="F41" s="29"/>
      <c r="G41" s="29"/>
      <c r="H41" s="29"/>
    </row>
    <row r="42" spans="1:8" ht="12.75">
      <c r="A42" s="29"/>
      <c r="B42" s="38"/>
      <c r="C42" s="29"/>
      <c r="D42" s="31"/>
      <c r="E42" s="29"/>
      <c r="F42" s="29"/>
      <c r="G42" s="29"/>
      <c r="H42" s="29"/>
    </row>
    <row r="43" spans="1:8" ht="12.75">
      <c r="A43" s="29"/>
      <c r="B43" s="38"/>
      <c r="C43" s="29"/>
      <c r="D43" s="31"/>
      <c r="E43" s="29"/>
      <c r="F43" s="29"/>
      <c r="G43" s="29"/>
      <c r="H43" s="29"/>
    </row>
    <row r="44" spans="1:8" ht="12.75">
      <c r="A44" s="29"/>
      <c r="B44" s="38"/>
      <c r="C44" s="29"/>
      <c r="D44" s="31"/>
      <c r="E44" s="29"/>
      <c r="F44" s="29"/>
      <c r="G44" s="29"/>
      <c r="H44" s="29"/>
    </row>
    <row r="45" spans="1:8" ht="12.75">
      <c r="A45" s="29"/>
      <c r="B45" s="38"/>
      <c r="C45" s="29"/>
      <c r="D45" s="31"/>
      <c r="E45" s="29"/>
      <c r="F45" s="29"/>
      <c r="G45" s="29"/>
      <c r="H45" s="29"/>
    </row>
    <row r="46" spans="1:8" ht="12.75">
      <c r="A46" s="29"/>
      <c r="B46" s="38"/>
      <c r="C46" s="29"/>
      <c r="D46" s="31"/>
      <c r="E46" s="29"/>
      <c r="F46" s="29"/>
      <c r="G46" s="29"/>
      <c r="H46" s="29"/>
    </row>
    <row r="47" spans="1:8" ht="12.75">
      <c r="A47" s="29"/>
      <c r="B47" s="38"/>
      <c r="C47" s="29"/>
      <c r="D47" s="31"/>
      <c r="E47" s="29"/>
      <c r="F47" s="29"/>
      <c r="G47" s="29"/>
      <c r="H47" s="29"/>
    </row>
    <row r="48" spans="1:8" ht="12.75">
      <c r="A48" s="29"/>
      <c r="B48" s="38"/>
      <c r="C48" s="29"/>
      <c r="D48" s="31"/>
      <c r="E48" s="29"/>
      <c r="F48" s="29"/>
      <c r="G48" s="29"/>
      <c r="H48" s="29"/>
    </row>
    <row r="49" spans="1:8" ht="12.75">
      <c r="A49" s="29"/>
      <c r="B49" s="38"/>
      <c r="C49" s="29"/>
      <c r="D49" s="31"/>
      <c r="E49" s="29"/>
      <c r="F49" s="29"/>
      <c r="G49" s="29"/>
      <c r="H49" s="29"/>
    </row>
    <row r="50" spans="1:8" ht="12.75">
      <c r="A50" s="29"/>
      <c r="B50" s="38"/>
      <c r="C50" s="29"/>
      <c r="D50" s="31"/>
      <c r="E50" s="29"/>
      <c r="F50" s="29"/>
      <c r="G50" s="29"/>
      <c r="H50" s="29"/>
    </row>
    <row r="51" spans="1:8" ht="12.75">
      <c r="A51" s="29"/>
      <c r="B51" s="38"/>
      <c r="C51" s="29"/>
      <c r="D51" s="31"/>
      <c r="E51" s="29"/>
      <c r="F51" s="29"/>
      <c r="G51" s="29"/>
      <c r="H51" s="29"/>
    </row>
    <row r="52" spans="1:8" ht="12.75">
      <c r="A52" s="29"/>
      <c r="B52" s="38"/>
      <c r="C52" s="29"/>
      <c r="D52" s="31"/>
      <c r="E52" s="29"/>
      <c r="F52" s="29"/>
      <c r="G52" s="29"/>
      <c r="H52" s="29"/>
    </row>
    <row r="53" spans="1:8" ht="12.75">
      <c r="A53" s="29"/>
      <c r="B53" s="38"/>
      <c r="C53" s="29"/>
      <c r="D53" s="31"/>
      <c r="E53" s="29"/>
      <c r="F53" s="29"/>
      <c r="G53" s="29"/>
      <c r="H53" s="29"/>
    </row>
    <row r="54" spans="1:8" ht="12.75">
      <c r="A54" s="29"/>
      <c r="B54" s="38"/>
      <c r="C54" s="29"/>
      <c r="D54" s="31"/>
      <c r="E54" s="29"/>
      <c r="F54" s="29"/>
      <c r="G54" s="29"/>
      <c r="H54" s="29"/>
    </row>
    <row r="55" spans="1:8" ht="12.75">
      <c r="A55" s="29"/>
      <c r="B55" s="38"/>
      <c r="C55" s="29"/>
      <c r="D55" s="31"/>
      <c r="E55" s="29"/>
      <c r="F55" s="29"/>
      <c r="G55" s="29"/>
      <c r="H55" s="29"/>
    </row>
    <row r="56" spans="1:8" ht="12.75">
      <c r="A56" s="29"/>
      <c r="B56" s="38"/>
      <c r="C56" s="29"/>
      <c r="D56" s="31"/>
      <c r="E56" s="29"/>
      <c r="F56" s="29"/>
      <c r="G56" s="29"/>
      <c r="H56" s="29"/>
    </row>
    <row r="57" spans="1:8" ht="12.75">
      <c r="A57" s="29"/>
      <c r="B57" s="38"/>
      <c r="C57" s="29"/>
      <c r="D57" s="31"/>
      <c r="E57" s="29"/>
      <c r="F57" s="29"/>
      <c r="G57" s="29"/>
      <c r="H57" s="29"/>
    </row>
    <row r="58" spans="1:8" ht="12.75">
      <c r="A58" s="29"/>
      <c r="B58" s="38"/>
      <c r="C58" s="29"/>
      <c r="D58" s="31"/>
      <c r="E58" s="29"/>
      <c r="F58" s="29"/>
      <c r="G58" s="29"/>
      <c r="H58" s="29"/>
    </row>
    <row r="59" spans="1:8" ht="12.75">
      <c r="A59" s="29"/>
      <c r="B59" s="38"/>
      <c r="C59" s="29"/>
      <c r="D59" s="31"/>
      <c r="E59" s="29"/>
      <c r="F59" s="29"/>
      <c r="G59" s="29"/>
      <c r="H59" s="29"/>
    </row>
    <row r="60" spans="1:8" ht="12.75">
      <c r="A60" s="29"/>
      <c r="B60" s="38"/>
      <c r="C60" s="29"/>
      <c r="D60" s="31"/>
      <c r="E60" s="29"/>
      <c r="F60" s="29"/>
      <c r="G60" s="29"/>
      <c r="H60" s="29"/>
    </row>
    <row r="61" spans="1:8" ht="18.75">
      <c r="A61" s="29"/>
      <c r="B61" s="38"/>
      <c r="C61" s="29"/>
      <c r="D61" s="99" t="s">
        <v>111</v>
      </c>
      <c r="E61" s="29"/>
      <c r="F61" s="29"/>
      <c r="G61" s="29"/>
      <c r="H61" s="29"/>
    </row>
    <row r="62" spans="1:8" ht="12.75">
      <c r="A62" s="29"/>
      <c r="B62" s="100"/>
      <c r="C62" s="29"/>
      <c r="D62" s="31"/>
      <c r="E62" s="29"/>
      <c r="F62" s="29"/>
      <c r="G62" s="29"/>
      <c r="H62" s="29"/>
    </row>
    <row r="63" spans="1:8" ht="12.75">
      <c r="A63" s="29"/>
      <c r="B63" s="70" t="s">
        <v>20</v>
      </c>
      <c r="C63" s="44">
        <f>+'Physical Characteristics'!C3</f>
        <v>11520</v>
      </c>
      <c r="D63" s="43" t="s">
        <v>21</v>
      </c>
      <c r="E63" s="29"/>
      <c r="F63" s="29"/>
      <c r="G63" s="29"/>
      <c r="H63" s="29"/>
    </row>
    <row r="64" spans="1:8" ht="12.75">
      <c r="A64" s="29"/>
      <c r="B64" s="40" t="s">
        <v>112</v>
      </c>
      <c r="C64" s="42">
        <f>+'Physical Characteristics'!C7-'Physical Characteristics'!C5</f>
        <v>-64.1</v>
      </c>
      <c r="D64" s="43" t="s">
        <v>12</v>
      </c>
      <c r="E64" s="29"/>
      <c r="F64" s="29"/>
      <c r="G64" s="29"/>
      <c r="H64" s="29"/>
    </row>
    <row r="65" spans="1:8" ht="12.75">
      <c r="A65" s="29"/>
      <c r="B65" s="40" t="s">
        <v>113</v>
      </c>
      <c r="C65" s="42">
        <f>-(+'Physical Characteristics'!C11-'Physical Characteristics'!C5)</f>
        <v>64.1</v>
      </c>
      <c r="D65" s="43" t="s">
        <v>12</v>
      </c>
      <c r="E65" s="29"/>
      <c r="F65" s="29"/>
      <c r="G65" s="29"/>
      <c r="H65" s="29"/>
    </row>
    <row r="66" spans="1:8" ht="12.75">
      <c r="A66" s="29"/>
      <c r="B66" s="40" t="s">
        <v>114</v>
      </c>
      <c r="C66" s="42">
        <f>+'Physical Characteristics'!C8</f>
        <v>0</v>
      </c>
      <c r="D66" s="43" t="s">
        <v>12</v>
      </c>
      <c r="E66" s="29"/>
      <c r="F66" s="29"/>
      <c r="G66" s="29"/>
      <c r="H66" s="29"/>
    </row>
    <row r="67" spans="1:8" ht="12.75">
      <c r="A67" s="29"/>
      <c r="B67" s="40" t="s">
        <v>115</v>
      </c>
      <c r="C67" s="42">
        <f>+'Physical Characteristics'!C12</f>
        <v>0</v>
      </c>
      <c r="D67" s="43" t="s">
        <v>12</v>
      </c>
      <c r="E67" s="29"/>
      <c r="F67" s="29"/>
      <c r="G67" s="29"/>
      <c r="H67" s="29"/>
    </row>
    <row r="68" spans="1:8" ht="12.75">
      <c r="A68" s="29"/>
      <c r="B68" s="40" t="s">
        <v>116</v>
      </c>
      <c r="C68" s="42">
        <f>+'Physical Characteristics'!C10+'Physical Characteristics'!C6</f>
        <v>0.7</v>
      </c>
      <c r="D68" s="43" t="s">
        <v>12</v>
      </c>
      <c r="E68" s="29"/>
      <c r="F68" s="29"/>
      <c r="G68" s="29"/>
      <c r="H68" s="29"/>
    </row>
    <row r="69" spans="1:8" ht="12.75">
      <c r="A69" s="29"/>
      <c r="B69" s="40" t="s">
        <v>117</v>
      </c>
      <c r="C69" s="42">
        <f>+'Physical Characteristics'!C10-'Physical Characteristics'!C6</f>
        <v>-0.7</v>
      </c>
      <c r="D69" s="43" t="s">
        <v>12</v>
      </c>
      <c r="E69" s="29"/>
      <c r="F69" s="29"/>
      <c r="G69" s="29"/>
      <c r="H69" s="29"/>
    </row>
    <row r="70" spans="1:8" ht="12.75">
      <c r="A70" s="29"/>
      <c r="B70" s="40" t="s">
        <v>118</v>
      </c>
      <c r="C70" s="42">
        <f>+'Physical Characteristics'!C14-'Physical Characteristics'!C6</f>
        <v>-0.7</v>
      </c>
      <c r="D70" s="43" t="s">
        <v>12</v>
      </c>
      <c r="E70" s="29"/>
      <c r="F70" s="29"/>
      <c r="G70" s="29"/>
      <c r="H70" s="29"/>
    </row>
    <row r="71" spans="1:8" ht="12.75">
      <c r="A71" s="29"/>
      <c r="B71" s="40" t="s">
        <v>119</v>
      </c>
      <c r="C71" s="42">
        <f>+'Physical Characteristics'!C13+'Physical Characteristics'!C6</f>
        <v>0.7</v>
      </c>
      <c r="D71" s="43" t="s">
        <v>12</v>
      </c>
      <c r="E71" s="29"/>
      <c r="F71" s="29"/>
      <c r="G71" s="29"/>
      <c r="H71" s="29"/>
    </row>
    <row r="72" spans="1:8" ht="12.75">
      <c r="A72" s="29"/>
      <c r="B72" s="40"/>
      <c r="C72" s="81"/>
      <c r="D72" s="43"/>
      <c r="E72" s="29"/>
      <c r="F72" s="29"/>
      <c r="G72" s="29"/>
      <c r="H72" s="29"/>
    </row>
    <row r="73" spans="1:8" ht="18.75" customHeight="1">
      <c r="A73" s="29"/>
      <c r="B73" s="101" t="s">
        <v>282</v>
      </c>
      <c r="C73" s="83"/>
      <c r="D73" s="83"/>
      <c r="E73" s="83"/>
      <c r="F73" s="83"/>
      <c r="G73" s="83"/>
      <c r="H73" s="29"/>
    </row>
    <row r="74" spans="1:8" ht="20.25" thickBot="1">
      <c r="A74" s="29"/>
      <c r="B74" s="151">
        <f>'209K Tiedown Calc'!$B$54</f>
      </c>
      <c r="C74" s="151"/>
      <c r="D74" s="151"/>
      <c r="E74" s="151"/>
      <c r="F74" s="151"/>
      <c r="G74" s="83"/>
      <c r="H74" s="29"/>
    </row>
    <row r="75" spans="1:8" ht="12.75">
      <c r="A75" s="29"/>
      <c r="B75" s="46" t="s">
        <v>120</v>
      </c>
      <c r="C75" s="48" t="s">
        <v>121</v>
      </c>
      <c r="D75" s="48" t="s">
        <v>122</v>
      </c>
      <c r="E75" s="48" t="s">
        <v>123</v>
      </c>
      <c r="F75" s="49" t="s">
        <v>124</v>
      </c>
      <c r="G75" s="29"/>
      <c r="H75" s="29"/>
    </row>
    <row r="76" spans="1:8" ht="12.75">
      <c r="A76" s="29"/>
      <c r="B76" s="54"/>
      <c r="C76" s="56" t="s">
        <v>125</v>
      </c>
      <c r="D76" s="56" t="s">
        <v>126</v>
      </c>
      <c r="E76" s="56" t="s">
        <v>127</v>
      </c>
      <c r="F76" s="57" t="s">
        <v>128</v>
      </c>
      <c r="G76" s="29"/>
      <c r="H76" s="29"/>
    </row>
    <row r="77" spans="1:8" ht="13.5" thickBot="1">
      <c r="A77" s="29"/>
      <c r="B77" s="50"/>
      <c r="C77" s="102" t="s">
        <v>129</v>
      </c>
      <c r="D77" s="102"/>
      <c r="E77" s="102"/>
      <c r="F77" s="53"/>
      <c r="G77" s="29"/>
      <c r="H77" s="29"/>
    </row>
    <row r="78" spans="1:8" ht="15.75" customHeight="1" thickTop="1">
      <c r="A78" s="29"/>
      <c r="B78" s="103"/>
      <c r="C78" s="83"/>
      <c r="D78" s="83"/>
      <c r="E78" s="83"/>
      <c r="F78" s="104"/>
      <c r="G78" s="83"/>
      <c r="H78" s="29"/>
    </row>
    <row r="79" spans="1:8" ht="15.75" customHeight="1">
      <c r="A79" s="29"/>
      <c r="B79" s="105" t="s">
        <v>130</v>
      </c>
      <c r="C79" s="106" t="e">
        <f>E150</f>
        <v>#DIV/0!</v>
      </c>
      <c r="D79" s="106" t="e">
        <f>H125</f>
        <v>#DIV/0!</v>
      </c>
      <c r="E79" s="107" t="e">
        <f>C171</f>
        <v>#DIV/0!</v>
      </c>
      <c r="F79" s="108" t="e">
        <f>C178</f>
        <v>#DIV/0!</v>
      </c>
      <c r="G79" s="83"/>
      <c r="H79" s="29"/>
    </row>
    <row r="80" spans="1:8" ht="15.75" customHeight="1">
      <c r="A80" s="29"/>
      <c r="B80" s="105" t="s">
        <v>131</v>
      </c>
      <c r="C80" s="106" t="e">
        <f>E151</f>
        <v>#DIV/0!</v>
      </c>
      <c r="D80" s="106" t="e">
        <f>H125</f>
        <v>#DIV/0!</v>
      </c>
      <c r="E80" s="107" t="e">
        <f>C172</f>
        <v>#DIV/0!</v>
      </c>
      <c r="F80" s="108" t="e">
        <f>C179</f>
        <v>#DIV/0!</v>
      </c>
      <c r="G80" s="83"/>
      <c r="H80" s="29"/>
    </row>
    <row r="81" spans="1:8" ht="15.75" customHeight="1">
      <c r="A81" s="29"/>
      <c r="B81" s="105" t="s">
        <v>132</v>
      </c>
      <c r="C81" s="106" t="e">
        <f>E152</f>
        <v>#DIV/0!</v>
      </c>
      <c r="D81" s="106" t="e">
        <f>H125</f>
        <v>#DIV/0!</v>
      </c>
      <c r="E81" s="107" t="e">
        <f>C173</f>
        <v>#DIV/0!</v>
      </c>
      <c r="F81" s="108" t="e">
        <f>C180</f>
        <v>#DIV/0!</v>
      </c>
      <c r="G81" s="83"/>
      <c r="H81" s="29"/>
    </row>
    <row r="82" spans="1:8" ht="15.75" customHeight="1" thickBot="1">
      <c r="A82" s="29"/>
      <c r="B82" s="109" t="s">
        <v>133</v>
      </c>
      <c r="C82" s="110" t="e">
        <f>E153</f>
        <v>#DIV/0!</v>
      </c>
      <c r="D82" s="110" t="e">
        <f>H125</f>
        <v>#DIV/0!</v>
      </c>
      <c r="E82" s="111" t="e">
        <f>C174</f>
        <v>#DIV/0!</v>
      </c>
      <c r="F82" s="112" t="e">
        <f>C181</f>
        <v>#DIV/0!</v>
      </c>
      <c r="G82" s="83"/>
      <c r="H82" s="29"/>
    </row>
    <row r="83" spans="1:8" ht="17.25" customHeight="1" thickBot="1">
      <c r="A83" s="29"/>
      <c r="B83" s="113" t="s">
        <v>134</v>
      </c>
      <c r="C83" s="114" t="e">
        <f>E186</f>
        <v>#DIV/0!</v>
      </c>
      <c r="D83" s="115" t="s">
        <v>135</v>
      </c>
      <c r="E83" s="116" t="s">
        <v>136</v>
      </c>
      <c r="F83" s="117"/>
      <c r="G83" s="83"/>
      <c r="H83" s="29"/>
    </row>
    <row r="84" spans="1:8" ht="13.5" customHeight="1">
      <c r="A84" s="29"/>
      <c r="B84" s="118" t="s">
        <v>137</v>
      </c>
      <c r="C84" s="119"/>
      <c r="D84" s="120"/>
      <c r="E84" s="121" t="e">
        <f>DEGREES(ATAN((C67-C66)/(C64+C65)))</f>
        <v>#DIV/0!</v>
      </c>
      <c r="F84" s="122" t="s">
        <v>138</v>
      </c>
      <c r="G84" s="83"/>
      <c r="H84" s="29"/>
    </row>
    <row r="85" spans="1:8" ht="13.5" customHeight="1" thickBot="1">
      <c r="A85" s="29"/>
      <c r="B85" s="109" t="s">
        <v>185</v>
      </c>
      <c r="C85" s="123"/>
      <c r="D85" s="124"/>
      <c r="E85" s="125"/>
      <c r="F85" s="126"/>
      <c r="G85" s="83"/>
      <c r="H85" s="29"/>
    </row>
    <row r="86" spans="1:8" ht="13.5" customHeight="1">
      <c r="A86" s="29"/>
      <c r="B86" s="127"/>
      <c r="C86" s="83"/>
      <c r="D86" s="83"/>
      <c r="E86" s="128"/>
      <c r="F86" s="83"/>
      <c r="G86" s="83"/>
      <c r="H86" s="29"/>
    </row>
    <row r="87" spans="1:8" s="130" customFormat="1" ht="13.5" customHeight="1">
      <c r="A87" s="100"/>
      <c r="B87" s="69" t="s">
        <v>38</v>
      </c>
      <c r="C87" s="129"/>
      <c r="D87" s="129"/>
      <c r="E87" s="129"/>
      <c r="F87" s="129"/>
      <c r="G87" s="129"/>
      <c r="H87" s="100"/>
    </row>
    <row r="88" spans="1:8" ht="13.5" customHeight="1">
      <c r="A88" s="29"/>
      <c r="B88" s="69" t="s">
        <v>283</v>
      </c>
      <c r="C88" s="83"/>
      <c r="D88" s="83"/>
      <c r="E88" s="83"/>
      <c r="F88" s="83"/>
      <c r="G88" s="83"/>
      <c r="H88" s="29"/>
    </row>
    <row r="89" spans="1:8" ht="12.75">
      <c r="A89" s="29"/>
      <c r="B89" s="82"/>
      <c r="C89" s="83"/>
      <c r="D89" s="83"/>
      <c r="E89" s="83"/>
      <c r="F89" s="83"/>
      <c r="G89" s="83"/>
      <c r="H89" s="29"/>
    </row>
    <row r="90" spans="1:8" ht="12.75">
      <c r="A90" s="70" t="s">
        <v>186</v>
      </c>
      <c r="B90" s="29"/>
      <c r="C90" s="29"/>
      <c r="D90" s="31"/>
      <c r="E90" s="29"/>
      <c r="F90" s="29"/>
      <c r="G90" s="29"/>
      <c r="H90" s="29"/>
    </row>
    <row r="91" spans="1:8" ht="12.75">
      <c r="A91" s="29"/>
      <c r="B91" s="29"/>
      <c r="C91" s="29"/>
      <c r="D91" s="31"/>
      <c r="E91" s="29"/>
      <c r="F91" s="29"/>
      <c r="G91" s="29"/>
      <c r="H91" s="29"/>
    </row>
    <row r="92" spans="1:8" ht="12.75">
      <c r="A92" s="29"/>
      <c r="B92" s="29" t="s">
        <v>187</v>
      </c>
      <c r="C92" s="131">
        <f>C67-C66</f>
        <v>0</v>
      </c>
      <c r="D92" s="43" t="s">
        <v>12</v>
      </c>
      <c r="E92" s="29"/>
      <c r="F92" s="29"/>
      <c r="G92" s="29"/>
      <c r="H92" s="29"/>
    </row>
    <row r="93" spans="1:8" ht="12.75">
      <c r="A93" s="29"/>
      <c r="B93" s="29" t="s">
        <v>139</v>
      </c>
      <c r="C93" s="131">
        <f>C64+C65</f>
        <v>0</v>
      </c>
      <c r="D93" s="43" t="s">
        <v>12</v>
      </c>
      <c r="E93" s="29"/>
      <c r="F93" s="29"/>
      <c r="G93" s="29"/>
      <c r="H93" s="29"/>
    </row>
    <row r="94" spans="1:8" ht="12.75">
      <c r="A94" s="29"/>
      <c r="B94" s="29" t="s">
        <v>188</v>
      </c>
      <c r="C94" s="132" t="s">
        <v>189</v>
      </c>
      <c r="D94" s="133" t="e">
        <f>TANH(C92/C93)*180/PI()</f>
        <v>#DIV/0!</v>
      </c>
      <c r="E94" s="29" t="s">
        <v>138</v>
      </c>
      <c r="F94" s="29"/>
      <c r="G94" s="29"/>
      <c r="H94" s="29"/>
    </row>
    <row r="95" spans="1:8" ht="12.75">
      <c r="A95" s="29"/>
      <c r="B95" s="29" t="s">
        <v>190</v>
      </c>
      <c r="C95" s="29" t="s">
        <v>191</v>
      </c>
      <c r="D95" s="134" t="e">
        <f>C93/COS(D94*PI()/180)</f>
        <v>#DIV/0!</v>
      </c>
      <c r="E95" s="29" t="s">
        <v>12</v>
      </c>
      <c r="F95" s="29"/>
      <c r="G95" s="29"/>
      <c r="H95" s="29"/>
    </row>
    <row r="96" spans="1:8" ht="12.75">
      <c r="A96" s="29"/>
      <c r="B96" s="29"/>
      <c r="C96" s="29"/>
      <c r="D96" s="31"/>
      <c r="E96" s="29"/>
      <c r="F96" s="29"/>
      <c r="G96" s="29"/>
      <c r="H96" s="29"/>
    </row>
    <row r="97" spans="1:8" ht="14.25">
      <c r="A97" s="40" t="s">
        <v>192</v>
      </c>
      <c r="B97" s="29"/>
      <c r="C97" s="132"/>
      <c r="D97" s="31"/>
      <c r="E97" s="29"/>
      <c r="F97" s="29"/>
      <c r="G97" s="29"/>
      <c r="H97" s="29"/>
    </row>
    <row r="98" spans="1:8" ht="12.75">
      <c r="A98" s="29"/>
      <c r="B98" s="29"/>
      <c r="C98" s="132"/>
      <c r="D98" s="31"/>
      <c r="E98" s="29"/>
      <c r="F98" s="29"/>
      <c r="G98" s="29"/>
      <c r="H98" s="29"/>
    </row>
    <row r="99" spans="1:8" ht="12.75">
      <c r="A99" s="29"/>
      <c r="B99" s="29" t="s">
        <v>140</v>
      </c>
      <c r="C99" s="132"/>
      <c r="D99" s="134">
        <f>(C68+C69)/2</f>
        <v>0</v>
      </c>
      <c r="E99" s="29" t="s">
        <v>12</v>
      </c>
      <c r="F99" s="29"/>
      <c r="G99" s="29"/>
      <c r="H99" s="29"/>
    </row>
    <row r="100" spans="1:8" ht="12.75">
      <c r="A100" s="29"/>
      <c r="B100" s="29" t="s">
        <v>141</v>
      </c>
      <c r="C100" s="132"/>
      <c r="D100" s="134">
        <f>(C70+C71)/2</f>
        <v>0</v>
      </c>
      <c r="E100" s="29" t="s">
        <v>12</v>
      </c>
      <c r="F100" s="29"/>
      <c r="G100" s="29"/>
      <c r="H100" s="29"/>
    </row>
    <row r="101" spans="1:8" ht="12.75">
      <c r="A101" s="29"/>
      <c r="B101" s="29"/>
      <c r="C101" s="132"/>
      <c r="D101" s="31"/>
      <c r="E101" s="29"/>
      <c r="F101" s="29"/>
      <c r="G101" s="29"/>
      <c r="H101" s="29"/>
    </row>
    <row r="102" spans="1:8" ht="14.25">
      <c r="A102" s="40" t="s">
        <v>193</v>
      </c>
      <c r="B102" s="29"/>
      <c r="C102" s="29"/>
      <c r="D102" s="31"/>
      <c r="E102" s="29"/>
      <c r="F102" s="29"/>
      <c r="G102" s="29"/>
      <c r="H102" s="29"/>
    </row>
    <row r="103" spans="1:8" ht="12.75">
      <c r="A103" s="29"/>
      <c r="B103" s="29"/>
      <c r="C103" s="29"/>
      <c r="D103" s="31"/>
      <c r="E103" s="29"/>
      <c r="F103" s="29"/>
      <c r="G103" s="29"/>
      <c r="H103" s="29"/>
    </row>
    <row r="104" spans="1:8" ht="14.25">
      <c r="A104" s="29"/>
      <c r="B104" s="29" t="s">
        <v>194</v>
      </c>
      <c r="C104" s="29"/>
      <c r="D104" s="31"/>
      <c r="E104" s="29"/>
      <c r="F104" s="29"/>
      <c r="G104" s="29"/>
      <c r="H104" s="29"/>
    </row>
    <row r="105" spans="1:8" ht="12" customHeight="1">
      <c r="A105" s="29"/>
      <c r="B105" s="29" t="s">
        <v>195</v>
      </c>
      <c r="C105" s="29"/>
      <c r="D105" s="31"/>
      <c r="E105" s="29"/>
      <c r="F105" s="29"/>
      <c r="G105" s="29"/>
      <c r="H105" s="29"/>
    </row>
    <row r="106" spans="1:8" ht="12.75">
      <c r="A106" s="29"/>
      <c r="B106" s="29" t="s">
        <v>142</v>
      </c>
      <c r="C106" s="29"/>
      <c r="D106" s="31"/>
      <c r="E106" s="29"/>
      <c r="F106" s="29"/>
      <c r="G106" s="29"/>
      <c r="H106" s="29"/>
    </row>
    <row r="107" spans="1:8" ht="12.75">
      <c r="A107" s="29"/>
      <c r="B107" s="29"/>
      <c r="C107" s="29"/>
      <c r="D107" s="31"/>
      <c r="E107" s="29"/>
      <c r="F107" s="29"/>
      <c r="G107" s="29"/>
      <c r="H107" s="29"/>
    </row>
    <row r="108" spans="1:8" ht="12.75">
      <c r="A108" s="40" t="s">
        <v>143</v>
      </c>
      <c r="B108" s="29"/>
      <c r="C108" s="29"/>
      <c r="D108" s="31"/>
      <c r="E108" s="29"/>
      <c r="F108" s="29"/>
      <c r="G108" s="29"/>
      <c r="H108" s="29"/>
    </row>
    <row r="109" spans="1:8" ht="12.75">
      <c r="A109" s="29"/>
      <c r="B109" s="29"/>
      <c r="C109" s="29"/>
      <c r="D109" s="31"/>
      <c r="E109" s="29"/>
      <c r="F109" s="29"/>
      <c r="G109" s="29"/>
      <c r="H109" s="29"/>
    </row>
    <row r="110" spans="1:8" ht="14.25">
      <c r="A110" s="29"/>
      <c r="B110" s="29" t="s">
        <v>196</v>
      </c>
      <c r="C110" s="29"/>
      <c r="D110" s="31"/>
      <c r="E110" s="29"/>
      <c r="F110" s="29"/>
      <c r="G110" s="29"/>
      <c r="H110" s="29"/>
    </row>
    <row r="111" spans="1:8" ht="12.75">
      <c r="A111" s="29"/>
      <c r="B111" s="29" t="s">
        <v>144</v>
      </c>
      <c r="C111" s="29"/>
      <c r="D111" s="134" t="e">
        <f>(D99^2-D100^2+D95^2)/(2*D95)</f>
        <v>#DIV/0!</v>
      </c>
      <c r="E111" s="29" t="s">
        <v>12</v>
      </c>
      <c r="F111" s="29"/>
      <c r="G111" s="29"/>
      <c r="H111" s="29"/>
    </row>
    <row r="112" spans="1:8" ht="12.75">
      <c r="A112" s="29"/>
      <c r="B112" s="29"/>
      <c r="C112" s="29"/>
      <c r="D112" s="31"/>
      <c r="E112" s="29"/>
      <c r="F112" s="29"/>
      <c r="G112" s="29"/>
      <c r="H112" s="29"/>
    </row>
    <row r="113" spans="1:8" ht="14.25">
      <c r="A113" s="40" t="s">
        <v>197</v>
      </c>
      <c r="B113" s="29"/>
      <c r="C113" s="29"/>
      <c r="D113" s="31"/>
      <c r="E113" s="29"/>
      <c r="F113" s="29"/>
      <c r="G113" s="29"/>
      <c r="H113" s="29"/>
    </row>
    <row r="114" spans="1:8" ht="12.75">
      <c r="A114" s="29"/>
      <c r="B114" s="29"/>
      <c r="C114" s="29"/>
      <c r="D114" s="31"/>
      <c r="E114" s="29"/>
      <c r="F114" s="29"/>
      <c r="G114" s="29"/>
      <c r="H114" s="29"/>
    </row>
    <row r="115" spans="1:8" ht="12.75">
      <c r="A115" s="29"/>
      <c r="B115" s="29" t="s">
        <v>145</v>
      </c>
      <c r="C115" s="29"/>
      <c r="D115" s="134" t="e">
        <f>D95-D111</f>
        <v>#DIV/0!</v>
      </c>
      <c r="E115" s="29" t="s">
        <v>12</v>
      </c>
      <c r="F115" s="29"/>
      <c r="G115" s="29"/>
      <c r="H115" s="29"/>
    </row>
    <row r="116" spans="1:8" ht="14.25">
      <c r="A116" s="29"/>
      <c r="B116" s="29" t="s">
        <v>198</v>
      </c>
      <c r="C116" s="29"/>
      <c r="D116" s="134" t="e">
        <f>SQRT(D99^2+D115^2)</f>
        <v>#DIV/0!</v>
      </c>
      <c r="E116" s="29" t="s">
        <v>12</v>
      </c>
      <c r="F116" s="29"/>
      <c r="G116" s="29"/>
      <c r="H116" s="29"/>
    </row>
    <row r="117" spans="1:8" ht="12.75">
      <c r="A117" s="29"/>
      <c r="B117" s="29"/>
      <c r="C117" s="29"/>
      <c r="D117" s="31"/>
      <c r="E117" s="29"/>
      <c r="F117" s="29"/>
      <c r="G117" s="29"/>
      <c r="H117" s="29"/>
    </row>
    <row r="118" spans="1:8" ht="12.75">
      <c r="A118" s="40" t="s">
        <v>146</v>
      </c>
      <c r="B118" s="29"/>
      <c r="C118" s="29"/>
      <c r="D118" s="31"/>
      <c r="E118" s="29"/>
      <c r="F118" s="29"/>
      <c r="G118" s="29"/>
      <c r="H118" s="29"/>
    </row>
    <row r="119" spans="1:8" ht="12.75">
      <c r="A119" s="29"/>
      <c r="B119" s="29"/>
      <c r="C119" s="29"/>
      <c r="D119" s="31"/>
      <c r="E119" s="29"/>
      <c r="F119" s="29"/>
      <c r="G119" s="29"/>
      <c r="H119" s="29"/>
    </row>
    <row r="120" spans="1:8" ht="14.25">
      <c r="A120" s="29"/>
      <c r="B120" s="29" t="s">
        <v>199</v>
      </c>
      <c r="C120" s="29" t="s">
        <v>200</v>
      </c>
      <c r="D120" s="135" t="e">
        <f>D116/(COS(45*PI()/180))</f>
        <v>#DIV/0!</v>
      </c>
      <c r="E120" s="29" t="s">
        <v>147</v>
      </c>
      <c r="F120" s="131" t="e">
        <f>D120/12</f>
        <v>#DIV/0!</v>
      </c>
      <c r="G120" s="29" t="s">
        <v>135</v>
      </c>
      <c r="H120" s="29"/>
    </row>
    <row r="121" spans="1:8" ht="12.75">
      <c r="A121" s="29"/>
      <c r="B121" s="29"/>
      <c r="C121" s="29"/>
      <c r="D121" s="31"/>
      <c r="E121" s="29"/>
      <c r="F121" s="29"/>
      <c r="G121" s="29"/>
      <c r="H121" s="29"/>
    </row>
    <row r="122" spans="1:8" ht="12.75">
      <c r="A122" s="40" t="s">
        <v>148</v>
      </c>
      <c r="B122" s="29"/>
      <c r="C122" s="29"/>
      <c r="D122" s="31"/>
      <c r="E122" s="29"/>
      <c r="F122" s="29"/>
      <c r="G122" s="29"/>
      <c r="H122" s="29"/>
    </row>
    <row r="123" spans="1:8" ht="12.75">
      <c r="A123" s="40" t="s">
        <v>149</v>
      </c>
      <c r="B123" s="29"/>
      <c r="C123" s="29"/>
      <c r="D123" s="31"/>
      <c r="E123" s="29"/>
      <c r="F123" s="29"/>
      <c r="G123" s="29"/>
      <c r="H123" s="29"/>
    </row>
    <row r="124" spans="1:8" ht="12.75">
      <c r="A124" s="29"/>
      <c r="B124" s="29"/>
      <c r="C124" s="29"/>
      <c r="D124" s="31"/>
      <c r="E124" s="29"/>
      <c r="F124" s="29"/>
      <c r="G124" s="29"/>
      <c r="H124" s="29"/>
    </row>
    <row r="125" spans="1:9" ht="12.75">
      <c r="A125" s="29"/>
      <c r="B125" s="38" t="s">
        <v>150</v>
      </c>
      <c r="C125" s="29"/>
      <c r="D125" s="31"/>
      <c r="E125" s="29"/>
      <c r="F125" s="136" t="e">
        <f>IF(F120&lt;12,12,F120)</f>
        <v>#DIV/0!</v>
      </c>
      <c r="G125" s="29" t="s">
        <v>135</v>
      </c>
      <c r="H125" s="131" t="e">
        <f>F125*12</f>
        <v>#DIV/0!</v>
      </c>
      <c r="I125" s="33" t="s">
        <v>12</v>
      </c>
    </row>
    <row r="126" spans="1:8" ht="12.75">
      <c r="A126" s="29"/>
      <c r="B126" s="131"/>
      <c r="C126" s="29"/>
      <c r="D126" s="31"/>
      <c r="E126" s="29"/>
      <c r="F126" s="29"/>
      <c r="G126" s="29"/>
      <c r="H126" s="29"/>
    </row>
    <row r="127" spans="1:8" ht="14.25">
      <c r="A127" s="29"/>
      <c r="B127" s="29" t="s">
        <v>201</v>
      </c>
      <c r="C127" s="29" t="s">
        <v>202</v>
      </c>
      <c r="D127" s="31"/>
      <c r="E127" s="29"/>
      <c r="F127" s="137" t="e">
        <f>ACOS(D116/H125)*180/PI()</f>
        <v>#DIV/0!</v>
      </c>
      <c r="G127" s="29" t="s">
        <v>138</v>
      </c>
      <c r="H127" s="29"/>
    </row>
    <row r="128" spans="1:8" ht="12.75">
      <c r="A128" s="29"/>
      <c r="B128" s="29"/>
      <c r="C128" s="29"/>
      <c r="D128" s="31"/>
      <c r="E128" s="29"/>
      <c r="F128" s="29"/>
      <c r="G128" s="29"/>
      <c r="H128" s="29"/>
    </row>
    <row r="129" spans="1:8" ht="12.75">
      <c r="A129" s="40" t="s">
        <v>151</v>
      </c>
      <c r="B129" s="29"/>
      <c r="C129" s="29"/>
      <c r="D129" s="31"/>
      <c r="E129" s="29"/>
      <c r="F129" s="29"/>
      <c r="G129" s="29"/>
      <c r="H129" s="29"/>
    </row>
    <row r="130" spans="1:8" ht="12.75">
      <c r="A130" s="29"/>
      <c r="B130" s="29"/>
      <c r="C130" s="29"/>
      <c r="D130" s="31"/>
      <c r="E130" s="29"/>
      <c r="F130" s="29"/>
      <c r="G130" s="29"/>
      <c r="H130" s="29"/>
    </row>
    <row r="131" spans="1:8" ht="12.75">
      <c r="A131" s="29"/>
      <c r="B131" s="29" t="s">
        <v>152</v>
      </c>
      <c r="C131" s="29"/>
      <c r="D131" s="134">
        <f>SQRT(C64^2+C68^2)</f>
        <v>64.1038220389393</v>
      </c>
      <c r="E131" s="29" t="s">
        <v>12</v>
      </c>
      <c r="F131" s="29"/>
      <c r="G131" s="29"/>
      <c r="H131" s="29"/>
    </row>
    <row r="132" spans="1:8" ht="12.75">
      <c r="A132" s="29"/>
      <c r="B132" s="29" t="s">
        <v>153</v>
      </c>
      <c r="C132" s="29"/>
      <c r="D132" s="134">
        <f>SQRT(C64^2+C69^2)</f>
        <v>64.1038220389393</v>
      </c>
      <c r="E132" s="29" t="s">
        <v>12</v>
      </c>
      <c r="F132" s="29"/>
      <c r="G132" s="29"/>
      <c r="H132" s="29"/>
    </row>
    <row r="133" spans="1:8" ht="12.75">
      <c r="A133" s="29"/>
      <c r="B133" s="29" t="s">
        <v>154</v>
      </c>
      <c r="C133" s="29"/>
      <c r="D133" s="134">
        <f>SQRT(C65^2+C70^2)</f>
        <v>64.1038220389393</v>
      </c>
      <c r="E133" s="29" t="s">
        <v>12</v>
      </c>
      <c r="F133" s="29"/>
      <c r="G133" s="29"/>
      <c r="H133" s="29"/>
    </row>
    <row r="134" spans="1:8" ht="12.75">
      <c r="A134" s="29"/>
      <c r="B134" s="29" t="s">
        <v>155</v>
      </c>
      <c r="C134" s="29"/>
      <c r="D134" s="134">
        <f>SQRT(C65^2+C71^2)</f>
        <v>64.1038220389393</v>
      </c>
      <c r="E134" s="29" t="s">
        <v>12</v>
      </c>
      <c r="F134" s="29"/>
      <c r="G134" s="29"/>
      <c r="H134" s="29"/>
    </row>
    <row r="135" spans="1:8" ht="12.75">
      <c r="A135" s="29"/>
      <c r="B135" s="29"/>
      <c r="C135" s="29"/>
      <c r="D135" s="31"/>
      <c r="E135" s="29"/>
      <c r="F135" s="29"/>
      <c r="G135" s="29"/>
      <c r="H135" s="29"/>
    </row>
    <row r="136" spans="1:8" ht="12.75">
      <c r="A136" s="29"/>
      <c r="B136" s="29" t="s">
        <v>203</v>
      </c>
      <c r="C136" s="29" t="s">
        <v>204</v>
      </c>
      <c r="D136" s="134" t="e">
        <f>D131/COS(D94*PI()/180)</f>
        <v>#DIV/0!</v>
      </c>
      <c r="E136" s="29" t="s">
        <v>12</v>
      </c>
      <c r="F136" s="29"/>
      <c r="G136" s="29"/>
      <c r="H136" s="29"/>
    </row>
    <row r="137" spans="1:8" ht="12.75">
      <c r="A137" s="29"/>
      <c r="B137" s="29"/>
      <c r="C137" s="29"/>
      <c r="D137" s="31"/>
      <c r="E137" s="29"/>
      <c r="F137" s="29"/>
      <c r="G137" s="29"/>
      <c r="H137" s="29"/>
    </row>
    <row r="138" spans="1:8" ht="12.75">
      <c r="A138" s="40" t="s">
        <v>156</v>
      </c>
      <c r="B138" s="29"/>
      <c r="C138" s="29"/>
      <c r="D138" s="31"/>
      <c r="E138" s="29"/>
      <c r="F138" s="29"/>
      <c r="G138" s="29"/>
      <c r="H138" s="29"/>
    </row>
    <row r="139" spans="1:8" ht="12.75">
      <c r="A139" s="29"/>
      <c r="B139" s="29"/>
      <c r="C139" s="29"/>
      <c r="D139" s="31"/>
      <c r="E139" s="29"/>
      <c r="F139" s="29"/>
      <c r="G139" s="29"/>
      <c r="H139" s="29"/>
    </row>
    <row r="140" spans="1:8" ht="12.75">
      <c r="A140" s="29"/>
      <c r="B140" s="29" t="s">
        <v>205</v>
      </c>
      <c r="C140" s="29" t="s">
        <v>206</v>
      </c>
      <c r="D140" s="134" t="e">
        <f>D132/COS(D94*PI()/180)</f>
        <v>#DIV/0!</v>
      </c>
      <c r="E140" s="29" t="s">
        <v>12</v>
      </c>
      <c r="F140" s="29"/>
      <c r="G140" s="29"/>
      <c r="H140" s="29"/>
    </row>
    <row r="141" spans="1:8" ht="12.75">
      <c r="A141" s="29"/>
      <c r="B141" s="29" t="s">
        <v>207</v>
      </c>
      <c r="C141" s="29" t="s">
        <v>208</v>
      </c>
      <c r="D141" s="134" t="e">
        <f>D133/COS(D94*PI()/180)</f>
        <v>#DIV/0!</v>
      </c>
      <c r="E141" s="29" t="s">
        <v>12</v>
      </c>
      <c r="F141" s="29"/>
      <c r="G141" s="29"/>
      <c r="H141" s="29"/>
    </row>
    <row r="142" spans="1:8" ht="12.75">
      <c r="A142" s="29"/>
      <c r="B142" s="29" t="s">
        <v>209</v>
      </c>
      <c r="C142" s="29" t="s">
        <v>210</v>
      </c>
      <c r="D142" s="134" t="e">
        <f>D134/COS(D94*PI()/180)</f>
        <v>#DIV/0!</v>
      </c>
      <c r="E142" s="29" t="s">
        <v>12</v>
      </c>
      <c r="F142" s="29"/>
      <c r="G142" s="29"/>
      <c r="H142" s="29"/>
    </row>
    <row r="143" spans="1:8" ht="12.75">
      <c r="A143" s="29"/>
      <c r="B143" s="29"/>
      <c r="C143" s="29"/>
      <c r="D143" s="31"/>
      <c r="E143" s="29"/>
      <c r="F143" s="29"/>
      <c r="G143" s="29"/>
      <c r="H143" s="29"/>
    </row>
    <row r="144" spans="1:8" ht="12.75">
      <c r="A144" s="29"/>
      <c r="B144" s="29" t="s">
        <v>157</v>
      </c>
      <c r="C144" s="29"/>
      <c r="D144" s="31"/>
      <c r="E144" s="29"/>
      <c r="F144" s="29"/>
      <c r="G144" s="29"/>
      <c r="H144" s="29"/>
    </row>
    <row r="145" spans="1:8" ht="12.75">
      <c r="A145" s="29"/>
      <c r="B145" s="29" t="s">
        <v>158</v>
      </c>
      <c r="C145" s="29"/>
      <c r="D145" s="31"/>
      <c r="E145" s="131" t="e">
        <f>SQRT(H125^2+D136^2-2*H125*D136*COS(F127*PI()/180))</f>
        <v>#DIV/0!</v>
      </c>
      <c r="F145" s="29" t="s">
        <v>12</v>
      </c>
      <c r="G145" s="29"/>
      <c r="H145" s="29"/>
    </row>
    <row r="146" spans="1:8" ht="12.75">
      <c r="A146" s="29"/>
      <c r="B146" s="29"/>
      <c r="C146" s="29"/>
      <c r="D146" s="31"/>
      <c r="E146" s="29"/>
      <c r="F146" s="29"/>
      <c r="G146" s="29"/>
      <c r="H146" s="29"/>
    </row>
    <row r="147" spans="1:8" ht="12.75">
      <c r="A147" s="40" t="s">
        <v>159</v>
      </c>
      <c r="B147" s="29"/>
      <c r="C147" s="29"/>
      <c r="D147" s="31"/>
      <c r="E147" s="29"/>
      <c r="F147" s="29"/>
      <c r="G147" s="29"/>
      <c r="H147" s="29"/>
    </row>
    <row r="148" spans="1:8" ht="12.75">
      <c r="A148" s="29"/>
      <c r="B148" s="29"/>
      <c r="C148" s="29"/>
      <c r="D148" s="31"/>
      <c r="E148" s="29"/>
      <c r="F148" s="29"/>
      <c r="G148" s="29"/>
      <c r="H148" s="29"/>
    </row>
    <row r="149" spans="1:8" ht="12.75">
      <c r="A149" s="29"/>
      <c r="B149" s="29" t="s">
        <v>160</v>
      </c>
      <c r="C149" s="29"/>
      <c r="D149" s="31"/>
      <c r="E149" s="29"/>
      <c r="F149" s="29"/>
      <c r="G149" s="29"/>
      <c r="H149" s="29"/>
    </row>
    <row r="150" spans="1:8" ht="15.75">
      <c r="A150" s="29"/>
      <c r="B150" s="29" t="s">
        <v>211</v>
      </c>
      <c r="C150" s="29"/>
      <c r="D150" s="31"/>
      <c r="E150" s="136" t="e">
        <f>ACOS((H125^2+E145^2-D136^2)/(2*H125*E145))*180/PI()</f>
        <v>#DIV/0!</v>
      </c>
      <c r="F150" s="29" t="s">
        <v>138</v>
      </c>
      <c r="G150" s="29"/>
      <c r="H150" s="29"/>
    </row>
    <row r="151" spans="1:8" ht="15.75">
      <c r="A151" s="29"/>
      <c r="B151" s="29" t="s">
        <v>212</v>
      </c>
      <c r="C151" s="29"/>
      <c r="D151" s="31"/>
      <c r="E151" s="136" t="e">
        <f>ACOS((H125^2+E145^2-D140^2)/(2*H125*E145))*180/PI()</f>
        <v>#DIV/0!</v>
      </c>
      <c r="F151" s="29" t="s">
        <v>138</v>
      </c>
      <c r="G151" s="29"/>
      <c r="H151" s="29"/>
    </row>
    <row r="152" spans="1:8" ht="15.75">
      <c r="A152" s="29"/>
      <c r="B152" s="29" t="s">
        <v>213</v>
      </c>
      <c r="C152" s="29"/>
      <c r="D152" s="31"/>
      <c r="E152" s="136" t="e">
        <f>ACOS((H125^2+E145^2-D141^2)/(2*H125*E145))*180/PI()</f>
        <v>#DIV/0!</v>
      </c>
      <c r="F152" s="29" t="s">
        <v>138</v>
      </c>
      <c r="G152" s="29"/>
      <c r="H152" s="29"/>
    </row>
    <row r="153" spans="1:8" ht="15.75">
      <c r="A153" s="29"/>
      <c r="B153" s="29" t="s">
        <v>214</v>
      </c>
      <c r="C153" s="29"/>
      <c r="D153" s="31"/>
      <c r="E153" s="136" t="e">
        <f>ACOS((H125^2+E145^2-D142^2)/(2*H125*E145))*180/PI()</f>
        <v>#DIV/0!</v>
      </c>
      <c r="F153" s="29" t="s">
        <v>138</v>
      </c>
      <c r="G153" s="29"/>
      <c r="H153" s="29"/>
    </row>
    <row r="154" spans="1:8" ht="12.75">
      <c r="A154" s="29"/>
      <c r="B154" s="29"/>
      <c r="C154" s="29"/>
      <c r="D154" s="31"/>
      <c r="E154" s="29"/>
      <c r="F154" s="29"/>
      <c r="G154" s="29"/>
      <c r="H154" s="29"/>
    </row>
    <row r="155" spans="1:8" ht="12.75">
      <c r="A155" s="40" t="s">
        <v>161</v>
      </c>
      <c r="B155" s="29"/>
      <c r="C155" s="29"/>
      <c r="D155" s="31"/>
      <c r="E155" s="29"/>
      <c r="F155" s="29"/>
      <c r="G155" s="29"/>
      <c r="H155" s="29"/>
    </row>
    <row r="156" spans="1:8" ht="12.75">
      <c r="A156" s="29"/>
      <c r="B156" s="29"/>
      <c r="C156" s="29"/>
      <c r="D156" s="31"/>
      <c r="E156" s="29"/>
      <c r="F156" s="29"/>
      <c r="G156" s="29"/>
      <c r="H156" s="29"/>
    </row>
    <row r="157" spans="1:8" ht="12.75">
      <c r="A157" s="29"/>
      <c r="B157" s="29" t="s">
        <v>162</v>
      </c>
      <c r="C157" s="29"/>
      <c r="D157" s="31"/>
      <c r="E157" s="71" t="e">
        <f>(C65/(C64+C65))*(C69/(C68+C69))*C63</f>
        <v>#DIV/0!</v>
      </c>
      <c r="F157" s="29" t="s">
        <v>21</v>
      </c>
      <c r="G157" s="29"/>
      <c r="H157" s="29"/>
    </row>
    <row r="158" spans="1:8" ht="12.75">
      <c r="A158" s="29"/>
      <c r="B158" s="29" t="s">
        <v>163</v>
      </c>
      <c r="C158" s="29"/>
      <c r="D158" s="31"/>
      <c r="E158" s="71" t="e">
        <f>(C65/(C64+C65))*(C68/(C68+C69))*C63</f>
        <v>#DIV/0!</v>
      </c>
      <c r="F158" s="29" t="s">
        <v>21</v>
      </c>
      <c r="G158" s="29"/>
      <c r="H158" s="29"/>
    </row>
    <row r="159" spans="1:8" ht="12.75">
      <c r="A159" s="29"/>
      <c r="B159" s="29" t="s">
        <v>164</v>
      </c>
      <c r="C159" s="29"/>
      <c r="D159" s="31"/>
      <c r="E159" s="71" t="e">
        <f>(C64/(C64+C65))*(C71/(C70+C71))*C63</f>
        <v>#DIV/0!</v>
      </c>
      <c r="F159" s="29" t="s">
        <v>21</v>
      </c>
      <c r="G159" s="29"/>
      <c r="H159" s="29"/>
    </row>
    <row r="160" spans="1:8" ht="12.75">
      <c r="A160" s="29"/>
      <c r="B160" s="29" t="s">
        <v>165</v>
      </c>
      <c r="C160" s="29"/>
      <c r="D160" s="31"/>
      <c r="E160" s="71" t="e">
        <f>(C64/(C64+C65))*(C70/(C70+C71))*C63</f>
        <v>#DIV/0!</v>
      </c>
      <c r="F160" s="29" t="s">
        <v>21</v>
      </c>
      <c r="G160" s="29"/>
      <c r="H160" s="29"/>
    </row>
    <row r="161" spans="1:8" ht="12.75">
      <c r="A161" s="29"/>
      <c r="B161" s="29"/>
      <c r="C161" s="29"/>
      <c r="D161" s="31"/>
      <c r="E161" s="29"/>
      <c r="F161" s="29"/>
      <c r="G161" s="29"/>
      <c r="H161" s="29"/>
    </row>
    <row r="162" spans="1:8" ht="12.75">
      <c r="A162" s="40" t="s">
        <v>166</v>
      </c>
      <c r="B162" s="29"/>
      <c r="C162" s="29"/>
      <c r="D162" s="31"/>
      <c r="E162" s="29"/>
      <c r="F162" s="29"/>
      <c r="G162" s="29"/>
      <c r="H162" s="29"/>
    </row>
    <row r="163" spans="1:8" ht="12.75">
      <c r="A163" s="29"/>
      <c r="B163" s="29"/>
      <c r="C163" s="29"/>
      <c r="D163" s="31"/>
      <c r="E163" s="29"/>
      <c r="F163" s="29"/>
      <c r="G163" s="29"/>
      <c r="H163" s="29"/>
    </row>
    <row r="164" spans="1:8" ht="12.75">
      <c r="A164" s="29"/>
      <c r="B164" s="29" t="s">
        <v>167</v>
      </c>
      <c r="C164" s="29"/>
      <c r="D164" s="138" t="e">
        <f>E157/(COS(E150*PI()/180))</f>
        <v>#DIV/0!</v>
      </c>
      <c r="E164" s="29" t="s">
        <v>21</v>
      </c>
      <c r="F164" s="29"/>
      <c r="G164" s="29"/>
      <c r="H164" s="29"/>
    </row>
    <row r="165" spans="1:8" ht="12.75">
      <c r="A165" s="29"/>
      <c r="B165" s="29" t="s">
        <v>168</v>
      </c>
      <c r="C165" s="29"/>
      <c r="D165" s="138" t="e">
        <f>E158/(COS(E151*PI()/180))</f>
        <v>#DIV/0!</v>
      </c>
      <c r="E165" s="29" t="s">
        <v>21</v>
      </c>
      <c r="F165" s="29"/>
      <c r="G165" s="29"/>
      <c r="H165" s="29"/>
    </row>
    <row r="166" spans="1:8" ht="12.75">
      <c r="A166" s="29"/>
      <c r="B166" s="29" t="s">
        <v>169</v>
      </c>
      <c r="C166" s="29"/>
      <c r="D166" s="138" t="e">
        <f>E159/(COS(E152*PI()/180))</f>
        <v>#DIV/0!</v>
      </c>
      <c r="E166" s="29" t="s">
        <v>21</v>
      </c>
      <c r="F166" s="29"/>
      <c r="G166" s="29"/>
      <c r="H166" s="29"/>
    </row>
    <row r="167" spans="1:8" ht="12.75">
      <c r="A167" s="29"/>
      <c r="B167" s="29" t="s">
        <v>170</v>
      </c>
      <c r="C167" s="29"/>
      <c r="D167" s="138" t="e">
        <f>E160/(COS(E153*PI()/180))</f>
        <v>#DIV/0!</v>
      </c>
      <c r="E167" s="29" t="s">
        <v>21</v>
      </c>
      <c r="F167" s="29"/>
      <c r="G167" s="29"/>
      <c r="H167" s="29"/>
    </row>
    <row r="168" spans="1:8" ht="12.75">
      <c r="A168" s="29"/>
      <c r="B168" s="29"/>
      <c r="C168" s="29"/>
      <c r="D168" s="31"/>
      <c r="E168" s="29"/>
      <c r="F168" s="29"/>
      <c r="G168" s="29"/>
      <c r="H168" s="29"/>
    </row>
    <row r="169" spans="1:8" ht="12.75">
      <c r="A169" s="40" t="s">
        <v>171</v>
      </c>
      <c r="B169" s="29"/>
      <c r="C169" s="29"/>
      <c r="D169" s="31"/>
      <c r="E169" s="29"/>
      <c r="F169" s="29"/>
      <c r="G169" s="29"/>
      <c r="H169" s="29"/>
    </row>
    <row r="170" spans="1:8" ht="12.75">
      <c r="A170" s="29"/>
      <c r="B170" s="29"/>
      <c r="C170" s="29"/>
      <c r="D170" s="31"/>
      <c r="E170" s="29"/>
      <c r="F170" s="29"/>
      <c r="G170" s="29"/>
      <c r="H170" s="29"/>
    </row>
    <row r="171" spans="1:8" ht="12.75">
      <c r="A171" s="29"/>
      <c r="B171" s="29" t="s">
        <v>172</v>
      </c>
      <c r="C171" s="75" t="e">
        <f>D164*E28</f>
        <v>#DIV/0!</v>
      </c>
      <c r="D171" s="43" t="s">
        <v>21</v>
      </c>
      <c r="E171" s="29"/>
      <c r="F171" s="29"/>
      <c r="G171" s="29"/>
      <c r="H171" s="29"/>
    </row>
    <row r="172" spans="1:8" ht="12.75">
      <c r="A172" s="29"/>
      <c r="B172" s="29" t="s">
        <v>173</v>
      </c>
      <c r="C172" s="75" t="e">
        <f>D165*E28</f>
        <v>#DIV/0!</v>
      </c>
      <c r="D172" s="43" t="s">
        <v>21</v>
      </c>
      <c r="E172" s="29"/>
      <c r="F172" s="29"/>
      <c r="G172" s="29"/>
      <c r="H172" s="29"/>
    </row>
    <row r="173" spans="1:8" ht="12.75">
      <c r="A173" s="29"/>
      <c r="B173" s="29" t="s">
        <v>174</v>
      </c>
      <c r="C173" s="75" t="e">
        <f>D166*E28</f>
        <v>#DIV/0!</v>
      </c>
      <c r="D173" s="43" t="s">
        <v>21</v>
      </c>
      <c r="E173" s="29"/>
      <c r="F173" s="29"/>
      <c r="G173" s="29"/>
      <c r="H173" s="29"/>
    </row>
    <row r="174" spans="1:8" ht="12.75">
      <c r="A174" s="29"/>
      <c r="B174" s="29" t="s">
        <v>175</v>
      </c>
      <c r="C174" s="75" t="e">
        <f>D167*E28</f>
        <v>#DIV/0!</v>
      </c>
      <c r="D174" s="43" t="s">
        <v>21</v>
      </c>
      <c r="E174" s="29"/>
      <c r="F174" s="29"/>
      <c r="G174" s="29"/>
      <c r="H174" s="29"/>
    </row>
    <row r="175" spans="1:8" ht="12.75">
      <c r="A175" s="29"/>
      <c r="B175" s="29"/>
      <c r="C175" s="100"/>
      <c r="D175" s="31"/>
      <c r="E175" s="29"/>
      <c r="F175" s="29"/>
      <c r="G175" s="29"/>
      <c r="H175" s="29"/>
    </row>
    <row r="176" spans="1:8" ht="12.75">
      <c r="A176" s="40" t="s">
        <v>176</v>
      </c>
      <c r="B176" s="29"/>
      <c r="C176" s="29"/>
      <c r="D176" s="31"/>
      <c r="E176" s="29"/>
      <c r="F176" s="29"/>
      <c r="G176" s="29"/>
      <c r="H176" s="29"/>
    </row>
    <row r="177" spans="1:8" ht="12.75">
      <c r="A177" s="29"/>
      <c r="B177" s="29"/>
      <c r="C177" s="29"/>
      <c r="D177" s="31"/>
      <c r="E177" s="29"/>
      <c r="F177" s="29"/>
      <c r="G177" s="29"/>
      <c r="H177" s="29"/>
    </row>
    <row r="178" spans="1:8" ht="12.75">
      <c r="A178" s="29"/>
      <c r="B178" s="29" t="s">
        <v>177</v>
      </c>
      <c r="C178" s="75" t="e">
        <f>C171*1.5</f>
        <v>#DIV/0!</v>
      </c>
      <c r="D178" s="43" t="s">
        <v>21</v>
      </c>
      <c r="E178" s="29"/>
      <c r="F178" s="29"/>
      <c r="G178" s="29"/>
      <c r="H178" s="29"/>
    </row>
    <row r="179" spans="1:8" ht="12.75">
      <c r="A179" s="29"/>
      <c r="B179" s="29" t="s">
        <v>178</v>
      </c>
      <c r="C179" s="75" t="e">
        <f>C172*1.5</f>
        <v>#DIV/0!</v>
      </c>
      <c r="D179" s="43" t="s">
        <v>21</v>
      </c>
      <c r="E179" s="29"/>
      <c r="F179" s="29"/>
      <c r="G179" s="29"/>
      <c r="H179" s="29"/>
    </row>
    <row r="180" spans="1:8" ht="12.75">
      <c r="A180" s="29"/>
      <c r="B180" s="29" t="s">
        <v>179</v>
      </c>
      <c r="C180" s="75" t="e">
        <f>C173*1.5</f>
        <v>#DIV/0!</v>
      </c>
      <c r="D180" s="43" t="s">
        <v>21</v>
      </c>
      <c r="E180" s="29"/>
      <c r="F180" s="29"/>
      <c r="G180" s="29"/>
      <c r="H180" s="29"/>
    </row>
    <row r="181" spans="1:8" ht="12.75" customHeight="1">
      <c r="A181" s="29"/>
      <c r="B181" s="29" t="s">
        <v>180</v>
      </c>
      <c r="C181" s="75" t="e">
        <f>C174*1.5</f>
        <v>#DIV/0!</v>
      </c>
      <c r="D181" s="43" t="s">
        <v>21</v>
      </c>
      <c r="E181" s="29"/>
      <c r="F181" s="29"/>
      <c r="G181" s="29"/>
      <c r="H181" s="29"/>
    </row>
    <row r="182" spans="1:8" ht="12.75" customHeight="1">
      <c r="A182" s="29"/>
      <c r="B182" s="29"/>
      <c r="C182" s="29"/>
      <c r="D182" s="31"/>
      <c r="E182" s="29"/>
      <c r="F182" s="29"/>
      <c r="G182" s="29"/>
      <c r="H182" s="29"/>
    </row>
    <row r="183" spans="1:8" ht="12.75" customHeight="1">
      <c r="A183" s="40" t="s">
        <v>181</v>
      </c>
      <c r="B183" s="29"/>
      <c r="C183" s="29"/>
      <c r="D183" s="31"/>
      <c r="E183" s="29"/>
      <c r="F183" s="29"/>
      <c r="G183" s="29"/>
      <c r="H183" s="29"/>
    </row>
    <row r="184" spans="1:8" ht="12.75" customHeight="1">
      <c r="A184" s="29"/>
      <c r="B184" s="29"/>
      <c r="C184" s="29"/>
      <c r="D184" s="31"/>
      <c r="E184" s="29"/>
      <c r="F184" s="29"/>
      <c r="G184" s="29"/>
      <c r="H184" s="29"/>
    </row>
    <row r="185" spans="1:8" ht="12.75" customHeight="1">
      <c r="A185" s="29"/>
      <c r="B185" s="29" t="s">
        <v>215</v>
      </c>
      <c r="C185" s="131" t="e">
        <f>TAN(D94*PI()/180)*D131</f>
        <v>#DIV/0!</v>
      </c>
      <c r="D185" s="43" t="s">
        <v>12</v>
      </c>
      <c r="E185" s="29"/>
      <c r="F185" s="29"/>
      <c r="G185" s="29"/>
      <c r="H185" s="29"/>
    </row>
    <row r="186" spans="1:8" ht="12.75" customHeight="1">
      <c r="A186" s="29"/>
      <c r="B186" s="29" t="s">
        <v>182</v>
      </c>
      <c r="C186" s="131" t="e">
        <f>C66+C185+E145</f>
        <v>#DIV/0!</v>
      </c>
      <c r="D186" s="43" t="s">
        <v>147</v>
      </c>
      <c r="E186" s="136" t="e">
        <f>C186/12</f>
        <v>#DIV/0!</v>
      </c>
      <c r="F186" s="29" t="s">
        <v>135</v>
      </c>
      <c r="G186" s="29"/>
      <c r="H186" s="29"/>
    </row>
    <row r="187" s="29" customFormat="1" ht="12.75">
      <c r="D187" s="31"/>
    </row>
    <row r="188" s="29" customFormat="1" ht="12.75">
      <c r="D188" s="31"/>
    </row>
    <row r="189" s="29" customFormat="1" ht="12.75">
      <c r="D189" s="31"/>
    </row>
    <row r="190" s="29" customFormat="1" ht="12.75">
      <c r="D190" s="31"/>
    </row>
    <row r="191" s="29" customFormat="1" ht="12.75">
      <c r="D191" s="31"/>
    </row>
    <row r="192" s="29" customFormat="1" ht="12.75">
      <c r="D192" s="31"/>
    </row>
  </sheetData>
  <sheetProtection sheet="1" objects="1" scenarios="1"/>
  <mergeCells count="5">
    <mergeCell ref="B74:F74"/>
    <mergeCell ref="D3:F3"/>
    <mergeCell ref="D4:F4"/>
    <mergeCell ref="C6:G6"/>
    <mergeCell ref="C8:G8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58.125" style="4" bestFit="1" customWidth="1"/>
    <col min="3" max="3" width="9.00390625" style="3" customWidth="1"/>
  </cols>
  <sheetData>
    <row r="3" spans="2:3" s="5" customFormat="1" ht="28.5">
      <c r="B3" s="20" t="s">
        <v>90</v>
      </c>
      <c r="C3" s="24" t="s">
        <v>235</v>
      </c>
    </row>
    <row r="4" spans="2:3" ht="14.25">
      <c r="B4" s="9" t="s">
        <v>217</v>
      </c>
      <c r="C4" s="8">
        <f>+'209K Tiedown Calc'!C45</f>
        <v>12.600000000000001</v>
      </c>
    </row>
    <row r="5" spans="2:3" ht="14.25">
      <c r="B5" s="9" t="s">
        <v>218</v>
      </c>
      <c r="C5" s="8">
        <f>+'209K Tiedown Calc'!C46</f>
        <v>14</v>
      </c>
    </row>
    <row r="6" spans="2:3" ht="14.25">
      <c r="B6" s="9" t="s">
        <v>219</v>
      </c>
      <c r="C6" s="8">
        <f>+'209K Tiedown Calc'!C47</f>
        <v>21.3</v>
      </c>
    </row>
    <row r="7" spans="2:3" ht="14.25">
      <c r="B7" s="9" t="s">
        <v>220</v>
      </c>
      <c r="C7" s="8">
        <f>+'209K Tiedown Calc'!C48</f>
        <v>22.7</v>
      </c>
    </row>
    <row r="8" spans="2:3" ht="14.25">
      <c r="B8" s="9" t="s">
        <v>216</v>
      </c>
      <c r="C8" s="8">
        <f>+'209K Tiedown Calc'!F45</f>
        <v>90.4</v>
      </c>
    </row>
    <row r="9" spans="2:3" ht="14.25">
      <c r="B9" s="9" t="s">
        <v>221</v>
      </c>
      <c r="C9" s="8">
        <f>+'209K Tiedown Calc'!F46</f>
        <v>90.4</v>
      </c>
    </row>
    <row r="10" spans="2:3" ht="14.25">
      <c r="B10" s="9" t="s">
        <v>222</v>
      </c>
      <c r="C10" s="8">
        <f>+'209K Tiedown Calc'!F47</f>
        <v>95.1</v>
      </c>
    </row>
    <row r="11" spans="2:3" ht="14.25">
      <c r="B11" s="9" t="s">
        <v>223</v>
      </c>
      <c r="C11" s="8">
        <f>+'209K Tiedown Calc'!F48</f>
        <v>95.1</v>
      </c>
    </row>
    <row r="12" spans="2:3" ht="14.25">
      <c r="B12" s="9" t="s">
        <v>224</v>
      </c>
      <c r="C12" s="8">
        <f>+'209K Lift Calc'!C64</f>
        <v>-64.1</v>
      </c>
    </row>
    <row r="13" spans="2:3" ht="14.25">
      <c r="B13" s="9" t="s">
        <v>225</v>
      </c>
      <c r="C13" s="8">
        <f>+'209K Lift Calc'!C65</f>
        <v>64.1</v>
      </c>
    </row>
    <row r="14" spans="2:3" ht="14.25">
      <c r="B14" s="9" t="s">
        <v>226</v>
      </c>
      <c r="C14" s="8">
        <f>+'209K Lift Calc'!C66</f>
        <v>0</v>
      </c>
    </row>
    <row r="15" spans="2:3" ht="14.25">
      <c r="B15" s="9" t="s">
        <v>227</v>
      </c>
      <c r="C15" s="8">
        <f>+'209K Lift Calc'!C67</f>
        <v>0</v>
      </c>
    </row>
    <row r="16" spans="2:3" ht="14.25">
      <c r="B16" s="9" t="s">
        <v>228</v>
      </c>
      <c r="C16" s="8">
        <f>+'209K Lift Calc'!C68</f>
        <v>0.7</v>
      </c>
    </row>
    <row r="17" spans="2:3" ht="14.25">
      <c r="B17" s="9" t="s">
        <v>229</v>
      </c>
      <c r="C17" s="8">
        <f>+'209K Lift Calc'!C69</f>
        <v>-0.7</v>
      </c>
    </row>
    <row r="18" spans="2:3" ht="14.25">
      <c r="B18" s="9" t="s">
        <v>230</v>
      </c>
      <c r="C18" s="8">
        <f>+'209K Lift Calc'!C70</f>
        <v>-0.7</v>
      </c>
    </row>
    <row r="19" spans="2:3" ht="14.25">
      <c r="B19" s="9" t="s">
        <v>231</v>
      </c>
      <c r="C19" s="8">
        <f>+'209K Lift Calc'!C71</f>
        <v>0.7</v>
      </c>
    </row>
    <row r="20" spans="2:3" ht="14.25">
      <c r="B20" s="10" t="s">
        <v>278</v>
      </c>
      <c r="C20" s="27" t="s">
        <v>138</v>
      </c>
    </row>
    <row r="21" spans="2:3" ht="14.25">
      <c r="B21" s="28" t="s">
        <v>279</v>
      </c>
      <c r="C21" s="27" t="e">
        <f>'209K Lift Calc'!E84</f>
        <v>#DIV/0!</v>
      </c>
    </row>
    <row r="22" spans="2:3" s="1" customFormat="1" ht="14.25">
      <c r="B22" s="10" t="s">
        <v>232</v>
      </c>
      <c r="C22" s="7" t="s">
        <v>233</v>
      </c>
    </row>
    <row r="23" spans="2:3" ht="14.25">
      <c r="B23" s="11" t="s">
        <v>234</v>
      </c>
      <c r="C23" s="6">
        <f>+'209K Lift Calc'!C63</f>
        <v>11520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00390625" style="4" customWidth="1"/>
    <col min="2" max="6" width="15.625" style="4" customWidth="1"/>
    <col min="7" max="16384" width="9.00390625" style="4" customWidth="1"/>
  </cols>
  <sheetData>
    <row r="3" spans="2:6" ht="14.25">
      <c r="B3" s="155" t="s">
        <v>247</v>
      </c>
      <c r="C3" s="155"/>
      <c r="D3" s="155"/>
      <c r="E3" s="155"/>
      <c r="F3" s="155"/>
    </row>
    <row r="4" spans="2:6" s="12" customFormat="1" ht="71.25">
      <c r="B4" s="21" t="s">
        <v>90</v>
      </c>
      <c r="C4" s="22" t="s">
        <v>236</v>
      </c>
      <c r="D4" s="22" t="s">
        <v>237</v>
      </c>
      <c r="E4" s="22" t="s">
        <v>238</v>
      </c>
      <c r="F4" s="23" t="s">
        <v>239</v>
      </c>
    </row>
    <row r="5" spans="2:6" ht="14.25">
      <c r="B5" s="13" t="s">
        <v>250</v>
      </c>
      <c r="C5" s="14" t="e">
        <f>+'209K Lift Calc'!C79</f>
        <v>#DIV/0!</v>
      </c>
      <c r="D5" s="14" t="e">
        <f>+'209K Lift Calc'!D79</f>
        <v>#DIV/0!</v>
      </c>
      <c r="E5" s="14" t="e">
        <f>+'209K Lift Calc'!E79</f>
        <v>#DIV/0!</v>
      </c>
      <c r="F5" s="14" t="e">
        <f>+'209K Lift Calc'!F79</f>
        <v>#DIV/0!</v>
      </c>
    </row>
    <row r="6" spans="2:6" ht="14.25">
      <c r="B6" s="13" t="s">
        <v>251</v>
      </c>
      <c r="C6" s="14" t="e">
        <f>+'209K Lift Calc'!C80</f>
        <v>#DIV/0!</v>
      </c>
      <c r="D6" s="14" t="e">
        <f>+'209K Lift Calc'!D80</f>
        <v>#DIV/0!</v>
      </c>
      <c r="E6" s="14" t="e">
        <f>+'209K Lift Calc'!E80</f>
        <v>#DIV/0!</v>
      </c>
      <c r="F6" s="14" t="e">
        <f>+'209K Lift Calc'!F80</f>
        <v>#DIV/0!</v>
      </c>
    </row>
    <row r="7" spans="2:6" ht="14.25">
      <c r="B7" s="13" t="s">
        <v>252</v>
      </c>
      <c r="C7" s="14" t="e">
        <f>+'209K Lift Calc'!C81</f>
        <v>#DIV/0!</v>
      </c>
      <c r="D7" s="14" t="e">
        <f>+'209K Lift Calc'!D81</f>
        <v>#DIV/0!</v>
      </c>
      <c r="E7" s="14" t="e">
        <f>+'209K Lift Calc'!E81</f>
        <v>#DIV/0!</v>
      </c>
      <c r="F7" s="14" t="e">
        <f>+'209K Lift Calc'!F81</f>
        <v>#DIV/0!</v>
      </c>
    </row>
    <row r="8" spans="2:6" ht="14.25">
      <c r="B8" s="13" t="s">
        <v>253</v>
      </c>
      <c r="C8" s="14" t="e">
        <f>+'209K Lift Calc'!C82</f>
        <v>#DIV/0!</v>
      </c>
      <c r="D8" s="14" t="e">
        <f>+'209K Lift Calc'!D82</f>
        <v>#DIV/0!</v>
      </c>
      <c r="E8" s="14" t="e">
        <f>+'209K Lift Calc'!E82</f>
        <v>#DIV/0!</v>
      </c>
      <c r="F8" s="14" t="e">
        <f>+'209K Lift Calc'!F82</f>
        <v>#DIV/0!</v>
      </c>
    </row>
    <row r="9" spans="2:6" ht="14.25">
      <c r="B9" s="160" t="s">
        <v>240</v>
      </c>
      <c r="C9" s="160"/>
      <c r="D9" s="160"/>
      <c r="E9" s="160"/>
      <c r="F9" s="15" t="e">
        <f>+'209K Lift Calc'!C83</f>
        <v>#DIV/0!</v>
      </c>
    </row>
    <row r="10" spans="2:6" ht="14.25">
      <c r="B10" s="160" t="s">
        <v>241</v>
      </c>
      <c r="C10" s="160"/>
      <c r="D10" s="160"/>
      <c r="E10" s="160"/>
      <c r="F10" s="15" t="e">
        <f>+'209K Lift Calc'!E84</f>
        <v>#DIV/0!</v>
      </c>
    </row>
    <row r="11" spans="2:6" s="3" customFormat="1" ht="14.25">
      <c r="B11" s="164" t="s">
        <v>246</v>
      </c>
      <c r="C11" s="162"/>
      <c r="D11" s="162"/>
      <c r="E11" s="162"/>
      <c r="F11" s="162"/>
    </row>
    <row r="12" spans="2:6" s="3" customFormat="1" ht="14.25">
      <c r="B12" s="158" t="s">
        <v>90</v>
      </c>
      <c r="C12" s="161" t="s">
        <v>245</v>
      </c>
      <c r="D12" s="162"/>
      <c r="E12" s="163"/>
      <c r="F12" s="156"/>
    </row>
    <row r="13" spans="2:6" s="3" customFormat="1" ht="14.25">
      <c r="B13" s="159"/>
      <c r="C13" s="18" t="s">
        <v>242</v>
      </c>
      <c r="D13" s="19" t="s">
        <v>244</v>
      </c>
      <c r="E13" s="19" t="s">
        <v>243</v>
      </c>
      <c r="F13" s="157"/>
    </row>
    <row r="14" spans="2:6" ht="14.25">
      <c r="B14" s="13" t="s">
        <v>250</v>
      </c>
      <c r="C14" s="16">
        <f>+'209K Tiedown Calc'!C59</f>
        <v>24252.631578947367</v>
      </c>
      <c r="D14" s="16">
        <f>+'209K Tiedown Calc'!D59</f>
        <v>6216.779685061711</v>
      </c>
      <c r="E14" s="16">
        <f>+'209K Tiedown Calc'!E59</f>
        <v>8858.911051212937</v>
      </c>
      <c r="F14" s="157"/>
    </row>
    <row r="15" spans="2:6" ht="14.25">
      <c r="B15" s="13" t="s">
        <v>251</v>
      </c>
      <c r="C15" s="16">
        <f>+'209K Tiedown Calc'!C61</f>
        <v>21827.368421052633</v>
      </c>
      <c r="D15" s="16">
        <f>+'209K Tiedown Calc'!D61</f>
        <v>5595.1017165555395</v>
      </c>
      <c r="E15" s="16">
        <f>+'209K Tiedown Calc'!E61</f>
        <v>8858.911051212937</v>
      </c>
      <c r="F15" s="157"/>
    </row>
    <row r="16" spans="2:6" ht="14.25">
      <c r="B16" s="13" t="s">
        <v>248</v>
      </c>
      <c r="C16" s="16">
        <f>+'209K Tiedown Calc'!C63</f>
        <v>23773.090909090908</v>
      </c>
      <c r="D16" s="16">
        <f>+'209K Tiedown Calc'!D63</f>
        <v>5792.688458711101</v>
      </c>
      <c r="E16" s="16">
        <f>+'209K Tiedown Calc'!E63</f>
        <v>8421.088948787063</v>
      </c>
      <c r="F16" s="157"/>
    </row>
    <row r="17" spans="2:6" ht="14.25">
      <c r="B17" s="11" t="s">
        <v>249</v>
      </c>
      <c r="C17" s="17">
        <f>+'209K Tiedown Calc'!C65</f>
        <v>22306.909090909092</v>
      </c>
      <c r="D17" s="17">
        <f>+'209K Tiedown Calc'!D65</f>
        <v>5435.43013967165</v>
      </c>
      <c r="E17" s="17">
        <f>+'209K Tiedown Calc'!E65</f>
        <v>8421.088948787063</v>
      </c>
      <c r="F17" s="157"/>
    </row>
  </sheetData>
  <sheetProtection sheet="1" objects="1" scenarios="1"/>
  <mergeCells count="7">
    <mergeCell ref="B3:F3"/>
    <mergeCell ref="F12:F17"/>
    <mergeCell ref="B12:B13"/>
    <mergeCell ref="B9:E9"/>
    <mergeCell ref="B10:E10"/>
    <mergeCell ref="C12:E12"/>
    <mergeCell ref="B11:F1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875" style="139" bestFit="1" customWidth="1"/>
    <col min="2" max="2" width="23.25390625" style="139" bestFit="1" customWidth="1"/>
    <col min="3" max="3" width="9.875" style="139" bestFit="1" customWidth="1"/>
    <col min="4" max="16384" width="9.00390625" style="139" customWidth="1"/>
  </cols>
  <sheetData>
    <row r="1" ht="15">
      <c r="B1" s="145">
        <f>'209K Tiedown Calc'!$B$54</f>
      </c>
    </row>
    <row r="2" ht="15.75">
      <c r="B2" s="140" t="s">
        <v>264</v>
      </c>
    </row>
    <row r="3" spans="1:3" ht="15">
      <c r="A3" s="141"/>
      <c r="B3" s="141" t="s">
        <v>254</v>
      </c>
      <c r="C3" s="142">
        <v>11520</v>
      </c>
    </row>
    <row r="4" spans="1:3" ht="15">
      <c r="A4" s="166" t="s">
        <v>255</v>
      </c>
      <c r="B4" s="139" t="s">
        <v>256</v>
      </c>
      <c r="C4" s="143">
        <v>40.1</v>
      </c>
    </row>
    <row r="5" spans="1:3" ht="15">
      <c r="A5" s="166"/>
      <c r="B5" s="139" t="s">
        <v>257</v>
      </c>
      <c r="C5" s="143">
        <v>64.1</v>
      </c>
    </row>
    <row r="6" spans="1:3" ht="15">
      <c r="A6" s="167"/>
      <c r="B6" s="141" t="s">
        <v>263</v>
      </c>
      <c r="C6" s="144">
        <v>0.7</v>
      </c>
    </row>
    <row r="7" spans="1:3" ht="15">
      <c r="A7" s="165" t="s">
        <v>258</v>
      </c>
      <c r="B7" s="139" t="s">
        <v>257</v>
      </c>
      <c r="C7" s="143"/>
    </row>
    <row r="8" spans="1:3" ht="15">
      <c r="A8" s="166"/>
      <c r="B8" s="139" t="s">
        <v>256</v>
      </c>
      <c r="C8" s="143"/>
    </row>
    <row r="9" spans="1:3" ht="15">
      <c r="A9" s="166"/>
      <c r="B9" s="139" t="s">
        <v>259</v>
      </c>
      <c r="C9" s="143"/>
    </row>
    <row r="10" spans="1:3" ht="15">
      <c r="A10" s="167"/>
      <c r="B10" s="141" t="s">
        <v>263</v>
      </c>
      <c r="C10" s="144"/>
    </row>
    <row r="11" spans="1:3" ht="15">
      <c r="A11" s="165" t="s">
        <v>260</v>
      </c>
      <c r="B11" s="139" t="s">
        <v>257</v>
      </c>
      <c r="C11" s="143"/>
    </row>
    <row r="12" spans="1:3" ht="15">
      <c r="A12" s="166"/>
      <c r="B12" s="139" t="s">
        <v>256</v>
      </c>
      <c r="C12" s="143"/>
    </row>
    <row r="13" spans="1:3" ht="15">
      <c r="A13" s="166"/>
      <c r="B13" s="139" t="s">
        <v>259</v>
      </c>
      <c r="C13" s="143"/>
    </row>
    <row r="14" spans="1:3" ht="15">
      <c r="A14" s="167"/>
      <c r="B14" s="141" t="s">
        <v>263</v>
      </c>
      <c r="C14" s="144"/>
    </row>
    <row r="15" spans="1:3" ht="15">
      <c r="A15" s="165" t="s">
        <v>261</v>
      </c>
      <c r="B15" s="139" t="s">
        <v>257</v>
      </c>
      <c r="C15" s="143">
        <v>154.5</v>
      </c>
    </row>
    <row r="16" spans="1:3" ht="15">
      <c r="A16" s="166"/>
      <c r="B16" s="139" t="s">
        <v>256</v>
      </c>
      <c r="C16" s="143">
        <v>23.5</v>
      </c>
    </row>
    <row r="17" spans="1:3" ht="15">
      <c r="A17" s="166"/>
      <c r="B17" s="139" t="s">
        <v>259</v>
      </c>
      <c r="C17" s="143">
        <v>13.3</v>
      </c>
    </row>
    <row r="18" spans="1:3" ht="15">
      <c r="A18" s="167"/>
      <c r="B18" s="141" t="s">
        <v>263</v>
      </c>
      <c r="C18" s="144">
        <v>13.3</v>
      </c>
    </row>
    <row r="19" spans="1:3" ht="15">
      <c r="A19" s="165" t="s">
        <v>262</v>
      </c>
      <c r="B19" s="139" t="s">
        <v>257</v>
      </c>
      <c r="C19" s="143">
        <v>-31</v>
      </c>
    </row>
    <row r="20" spans="1:3" ht="15">
      <c r="A20" s="166"/>
      <c r="B20" s="139" t="s">
        <v>256</v>
      </c>
      <c r="C20" s="143">
        <v>23</v>
      </c>
    </row>
    <row r="21" spans="1:3" ht="15">
      <c r="A21" s="166"/>
      <c r="B21" s="139" t="s">
        <v>259</v>
      </c>
      <c r="C21" s="143">
        <v>22</v>
      </c>
    </row>
    <row r="22" spans="1:3" ht="15">
      <c r="A22" s="167"/>
      <c r="B22" s="141" t="s">
        <v>263</v>
      </c>
      <c r="C22" s="144">
        <v>22</v>
      </c>
    </row>
  </sheetData>
  <sheetProtection sheet="1" objects="1" scenarios="1"/>
  <mergeCells count="5">
    <mergeCell ref="A19:A22"/>
    <mergeCell ref="A4:A6"/>
    <mergeCell ref="A7:A10"/>
    <mergeCell ref="A11:A14"/>
    <mergeCell ref="A15:A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25" bestFit="1" customWidth="1"/>
    <col min="2" max="2" width="12.625" style="26" customWidth="1"/>
    <col min="3" max="16384" width="9.00390625" style="25" customWidth="1"/>
  </cols>
  <sheetData>
    <row r="2" spans="1:2" ht="15">
      <c r="A2" s="25" t="s">
        <v>277</v>
      </c>
      <c r="B2" s="26">
        <f>'209K Lift Calc'!E29</f>
        <v>0</v>
      </c>
    </row>
    <row r="4" spans="1:2" ht="15">
      <c r="A4" s="25" t="s">
        <v>272</v>
      </c>
      <c r="B4" s="26">
        <f>MAX('209K Tiedown Calc'!C59:C66)</f>
        <v>24252.631578947367</v>
      </c>
    </row>
    <row r="6" spans="1:2" ht="15">
      <c r="A6" s="25" t="s">
        <v>273</v>
      </c>
      <c r="B6" s="26">
        <f>MAX('209K Tiedown Calc'!E59:E62)</f>
        <v>8858.911051212937</v>
      </c>
    </row>
    <row r="7" spans="1:2" ht="15">
      <c r="A7" s="25" t="s">
        <v>274</v>
      </c>
      <c r="B7" s="26">
        <f>MAX('209K Tiedown Calc'!E63:E66)</f>
        <v>8421.088948787063</v>
      </c>
    </row>
    <row r="9" spans="1:2" ht="15">
      <c r="A9" s="25" t="s">
        <v>275</v>
      </c>
      <c r="B9" s="26">
        <f>MAX('209K Tiedown Calc'!D59:D62)</f>
        <v>6216.779685061711</v>
      </c>
    </row>
    <row r="10" spans="1:2" ht="15">
      <c r="A10" s="25" t="s">
        <v>276</v>
      </c>
      <c r="B10" s="26">
        <f>MAX('209K Tiedown Calc'!D59:D62)</f>
        <v>6216.779685061711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MTMCTEA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MIL-STD-209K Provision Loading Calculations</dc:title>
  <dc:subject/>
  <dc:creator>jlnapi</dc:creator>
  <cp:keywords/>
  <dc:description/>
  <cp:lastModifiedBy>BCL</cp:lastModifiedBy>
  <cp:lastPrinted>2008-12-22T13:06:43Z</cp:lastPrinted>
  <dcterms:created xsi:type="dcterms:W3CDTF">1997-11-10T13:35:17Z</dcterms:created>
  <dcterms:modified xsi:type="dcterms:W3CDTF">2015-03-03T16:56:16Z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SJKVJYN3D4Y7-1239815019-1</vt:lpwstr>
  </property>
  <property fmtid="{D5CDD505-2E9C-101B-9397-08002B2CF9AE}" pid="4" name="_dlc_DocIdItemGu">
    <vt:lpwstr>dcc59f02-0ed3-4a28-a4ef-d64839499ed0</vt:lpwstr>
  </property>
  <property fmtid="{D5CDD505-2E9C-101B-9397-08002B2CF9AE}" pid="5" name="_dlc_DocIdU">
    <vt:lpwstr>https://www.sddc.army.mil/sites/TEA/Functions/Deployability/TransportabilityEngineering/MODES/LiftingAndTiedownProvisionDesign/_layouts/15/DocIdRedir.aspx?ID=SJKVJYN3D4Y7-1239815019-1, SJKVJYN3D4Y7-1239815019-1</vt:lpwstr>
  </property>
</Properties>
</file>